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ustomProperty2.bin" ContentType="application/vnd.openxmlformats-officedocument.spreadsheetml.customProperty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tns-fbu-2f-201.corp.telenor.no\USER-201$\t507603\Mine Dokumenter\Non-Financial Reporting\Analytical tool figures\"/>
    </mc:Choice>
  </mc:AlternateContent>
  <bookViews>
    <workbookView xWindow="0" yWindow="1040" windowWidth="2900" windowHeight="5140" tabRatio="794" firstSheet="4" activeTab="4"/>
  </bookViews>
  <sheets>
    <sheet name="Other_DK (not in use)" sheetId="131" state="hidden" r:id="rId1"/>
    <sheet name="Web File adj Other for Q1-16" sheetId="132" state="hidden" r:id="rId2"/>
    <sheet name="EBITDA Contribution -brukes den" sheetId="129" state="hidden" r:id="rId3"/>
    <sheet name="Ark3" sheetId="113" state="hidden" r:id="rId4"/>
    <sheet name="GROUP" sheetId="135" r:id="rId5"/>
    <sheet name="Norway" sheetId="117" r:id="rId6"/>
    <sheet name="Denmark" sheetId="137" r:id="rId7"/>
    <sheet name="Sweden" sheetId="139" r:id="rId8"/>
    <sheet name="dtac" sheetId="138" r:id="rId9"/>
    <sheet name="digi" sheetId="144" r:id="rId10"/>
    <sheet name="Grameenphone" sheetId="145" r:id="rId11"/>
    <sheet name="Pakistan" sheetId="146" r:id="rId12"/>
    <sheet name="Myanmar" sheetId="148" r:id="rId13"/>
    <sheet name="Broadcast" sheetId="149" r:id="rId14"/>
    <sheet name="Other units" sheetId="150" r:id="rId15"/>
    <sheet name="Bulgaria" sheetId="140" r:id="rId16"/>
    <sheet name="Hungary" sheetId="141" r:id="rId17"/>
    <sheet name="Montenegro" sheetId="142" r:id="rId18"/>
    <sheet name="Serbia" sheetId="143" r:id="rId19"/>
    <sheet name="India" sheetId="14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de2" localSheetId="1" hidden="1">{"Side 1",#N/A,FALSE,"Hovedark";"Side 2",#N/A,FALSE,"Hovedark";"Side 3",#N/A,FALSE,"Hovedark"}</definedName>
    <definedName name="_de2" hidden="1">{"Side 1",#N/A,FALSE,"Hovedark";"Side 2",#N/A,FALSE,"Hovedark";"Side 3",#N/A,FALSE,"Hovedark"}</definedName>
    <definedName name="a" localSheetId="13">#REF!</definedName>
    <definedName name="a" localSheetId="15">#REF!</definedName>
    <definedName name="a" localSheetId="6">#REF!</definedName>
    <definedName name="a" localSheetId="9">#REF!</definedName>
    <definedName name="a" localSheetId="8">#REF!</definedName>
    <definedName name="a" localSheetId="10">#REF!</definedName>
    <definedName name="a" localSheetId="4">#REF!</definedName>
    <definedName name="a" localSheetId="16">#REF!</definedName>
    <definedName name="a" localSheetId="19">#REF!</definedName>
    <definedName name="a" localSheetId="17">#REF!</definedName>
    <definedName name="a" localSheetId="12">#REF!</definedName>
    <definedName name="a" localSheetId="5">#REF!</definedName>
    <definedName name="a" localSheetId="14">#REF!</definedName>
    <definedName name="a" localSheetId="0">#REF!</definedName>
    <definedName name="a" localSheetId="11">#REF!</definedName>
    <definedName name="a" localSheetId="18">#REF!</definedName>
    <definedName name="a" localSheetId="7">#REF!</definedName>
    <definedName name="a" localSheetId="1">[1]proforma!#REF!</definedName>
    <definedName name="a">#REF!</definedName>
    <definedName name="a_sted" localSheetId="1">'[2]A-sted'!$A$8:$J$52</definedName>
    <definedName name="a_sted">'[3]A-sted'!$A$8:$J$52</definedName>
    <definedName name="a_sted_akk" localSheetId="1">'[2]A-sted'!$O$8:$AA$59</definedName>
    <definedName name="a_sted_akk">'[3]A-sted'!$O$8:$AA$59</definedName>
    <definedName name="AccessDatabase" hidden="1">"C:\Dokumenter\Carlsberg estimat.mdb"</definedName>
    <definedName name="Användare" localSheetId="13">#REF!</definedName>
    <definedName name="Användare" localSheetId="15">#REF!</definedName>
    <definedName name="Användare" localSheetId="6">#REF!</definedName>
    <definedName name="Användare" localSheetId="9">#REF!</definedName>
    <definedName name="Användare" localSheetId="8">#REF!</definedName>
    <definedName name="Användare" localSheetId="10">#REF!</definedName>
    <definedName name="Användare" localSheetId="4">#REF!</definedName>
    <definedName name="Användare" localSheetId="16">#REF!</definedName>
    <definedName name="Användare" localSheetId="19">#REF!</definedName>
    <definedName name="Användare" localSheetId="17">#REF!</definedName>
    <definedName name="Användare" localSheetId="12">#REF!</definedName>
    <definedName name="Användare" localSheetId="5">#REF!</definedName>
    <definedName name="Användare" localSheetId="14">#REF!</definedName>
    <definedName name="Användare" localSheetId="0">#REF!</definedName>
    <definedName name="Användare" localSheetId="11">#REF!</definedName>
    <definedName name="Användare" localSheetId="18">#REF!</definedName>
    <definedName name="Användare" localSheetId="7">#REF!</definedName>
    <definedName name="Användare" localSheetId="1">#REF!</definedName>
    <definedName name="Användare">#REF!</definedName>
    <definedName name="Button_3">"Carlsberg_estimat_Resultatopgørelse_List"</definedName>
    <definedName name="Company_Code" localSheetId="1">[4]Front!$E$10</definedName>
    <definedName name="Company_Code">[5]Front!$E$10</definedName>
    <definedName name="Company_Name" localSheetId="1">[4]Front!$E$11</definedName>
    <definedName name="Company_Name">[5]Front!$E$11</definedName>
    <definedName name="Currency" localSheetId="1">[4]Front!$E$13</definedName>
    <definedName name="Currency">[5]Front!$E$15</definedName>
    <definedName name="d" localSheetId="13">#REF!</definedName>
    <definedName name="d" localSheetId="15">#REF!</definedName>
    <definedName name="d" localSheetId="9">#REF!</definedName>
    <definedName name="d" localSheetId="8">#REF!</definedName>
    <definedName name="d" localSheetId="10">#REF!</definedName>
    <definedName name="d" localSheetId="16">#REF!</definedName>
    <definedName name="d" localSheetId="19">#REF!</definedName>
    <definedName name="d" localSheetId="17">#REF!</definedName>
    <definedName name="d" localSheetId="12">#REF!</definedName>
    <definedName name="d" localSheetId="14">#REF!</definedName>
    <definedName name="d" localSheetId="11">#REF!</definedName>
    <definedName name="d" localSheetId="18">#REF!</definedName>
    <definedName name="d" localSheetId="7">#REF!</definedName>
    <definedName name="d">#REF!</definedName>
    <definedName name="Datatabell" localSheetId="13">#REF!</definedName>
    <definedName name="Datatabell" localSheetId="15">#REF!</definedName>
    <definedName name="Datatabell" localSheetId="6">#REF!</definedName>
    <definedName name="Datatabell" localSheetId="9">#REF!</definedName>
    <definedName name="Datatabell" localSheetId="8">#REF!</definedName>
    <definedName name="Datatabell" localSheetId="10">#REF!</definedName>
    <definedName name="Datatabell" localSheetId="4">#REF!</definedName>
    <definedName name="Datatabell" localSheetId="16">#REF!</definedName>
    <definedName name="Datatabell" localSheetId="19">#REF!</definedName>
    <definedName name="Datatabell" localSheetId="17">#REF!</definedName>
    <definedName name="Datatabell" localSheetId="12">#REF!</definedName>
    <definedName name="Datatabell" localSheetId="5">#REF!</definedName>
    <definedName name="Datatabell" localSheetId="14">#REF!</definedName>
    <definedName name="Datatabell" localSheetId="0">#REF!</definedName>
    <definedName name="Datatabell" localSheetId="11">#REF!</definedName>
    <definedName name="Datatabell" localSheetId="18">#REF!</definedName>
    <definedName name="Datatabell" localSheetId="7">#REF!</definedName>
    <definedName name="Datatabell" localSheetId="1">#REF!</definedName>
    <definedName name="Datatabell">#REF!</definedName>
    <definedName name="Date" localSheetId="1">[4]Front!$E$14</definedName>
    <definedName name="Date">[5]Front!$E$16</definedName>
    <definedName name="ddd" hidden="1">{"Side 1",#N/A,FALSE,"Hovedark";"Side 2",#N/A,FALSE,"Hovedark";"Side 3",#N/A,FALSE,"Hovedark"}</definedName>
    <definedName name="de3f" localSheetId="1" hidden="1">{"Resultat",#N/A,TRUE,"Hovedtal";"Balance",#N/A,TRUE,"Hovedtal";"Cash_Flow",#N/A,TRUE,"Hovedtal"}</definedName>
    <definedName name="de3f" hidden="1">{"Resultat",#N/A,TRUE,"Hovedtal";"Balance",#N/A,TRUE,"Hovedtal";"Cash_Flow",#N/A,TRUE,"Hovedtal"}</definedName>
    <definedName name="dew">[6]Front!$E$12</definedName>
    <definedName name="dfw">[6]Front!$E$16</definedName>
    <definedName name="dropdownyear" localSheetId="13">#REF!</definedName>
    <definedName name="dropdownyear" localSheetId="15">#REF!</definedName>
    <definedName name="dropdownyear" localSheetId="6">#REF!</definedName>
    <definedName name="dropdownyear" localSheetId="9">#REF!</definedName>
    <definedName name="dropdownyear" localSheetId="8">#REF!</definedName>
    <definedName name="dropdownyear" localSheetId="10">#REF!</definedName>
    <definedName name="dropdownyear" localSheetId="4">#REF!</definedName>
    <definedName name="dropdownyear" localSheetId="16">#REF!</definedName>
    <definedName name="dropdownyear" localSheetId="19">#REF!</definedName>
    <definedName name="dropdownyear" localSheetId="17">#REF!</definedName>
    <definedName name="dropdownyear" localSheetId="12">#REF!</definedName>
    <definedName name="dropdownyear" localSheetId="14">#REF!</definedName>
    <definedName name="dropdownyear" localSheetId="11">#REF!</definedName>
    <definedName name="dropdownyear" localSheetId="18">#REF!</definedName>
    <definedName name="dropdownyear" localSheetId="7">#REF!</definedName>
    <definedName name="dropdownyear">#REF!</definedName>
    <definedName name="EgenRappPath" localSheetId="13">#REF!</definedName>
    <definedName name="EgenRappPath" localSheetId="15">#REF!</definedName>
    <definedName name="EgenRappPath" localSheetId="6">#REF!</definedName>
    <definedName name="EgenRappPath" localSheetId="9">#REF!</definedName>
    <definedName name="EgenRappPath" localSheetId="8">#REF!</definedName>
    <definedName name="EgenRappPath" localSheetId="10">#REF!</definedName>
    <definedName name="EgenRappPath" localSheetId="4">#REF!</definedName>
    <definedName name="EgenRappPath" localSheetId="16">#REF!</definedName>
    <definedName name="EgenRappPath" localSheetId="19">#REF!</definedName>
    <definedName name="EgenRappPath" localSheetId="17">#REF!</definedName>
    <definedName name="EgenRappPath" localSheetId="12">#REF!</definedName>
    <definedName name="EgenRappPath" localSheetId="5">#REF!</definedName>
    <definedName name="EgenRappPath" localSheetId="14">#REF!</definedName>
    <definedName name="EgenRappPath" localSheetId="0">#REF!</definedName>
    <definedName name="EgenRappPath" localSheetId="11">#REF!</definedName>
    <definedName name="EgenRappPath" localSheetId="18">#REF!</definedName>
    <definedName name="EgenRappPath" localSheetId="7">#REF!</definedName>
    <definedName name="EgenRappPath" localSheetId="1">#REF!</definedName>
    <definedName name="EgenRappPath">#REF!</definedName>
    <definedName name="EssAliasTable" localSheetId="1">"Default"</definedName>
    <definedName name="EssfHasNonUnique" localSheetId="13">"FALSE"</definedName>
    <definedName name="EssfHasNonUnique" localSheetId="15">"FALSE"</definedName>
    <definedName name="EssfHasNonUnique" localSheetId="6">"FALSE"</definedName>
    <definedName name="EssfHasNonUnique" localSheetId="9">"FALSE"</definedName>
    <definedName name="EssfHasNonUnique" localSheetId="8">"FALSE"</definedName>
    <definedName name="EssfHasNonUnique" localSheetId="10">"FALSE"</definedName>
    <definedName name="EssfHasNonUnique" localSheetId="4">"FALSE"</definedName>
    <definedName name="EssfHasNonUnique" localSheetId="16">"FALSE"</definedName>
    <definedName name="EssfHasNonUnique" localSheetId="19">"FALSE"</definedName>
    <definedName name="EssfHasNonUnique" localSheetId="17">"FALSE"</definedName>
    <definedName name="EssfHasNonUnique" localSheetId="12">"FALSE"</definedName>
    <definedName name="EssfHasNonUnique" localSheetId="5">"FALSE"</definedName>
    <definedName name="EssfHasNonUnique" localSheetId="14">"FALSE"</definedName>
    <definedName name="EssfHasNonUnique" localSheetId="11">"FALSE"</definedName>
    <definedName name="EssfHasNonUnique" localSheetId="18">"FALSE"</definedName>
    <definedName name="EssfHasNonUnique" localSheetId="7">"FALSE"</definedName>
    <definedName name="EssfHasNonUnique" localSheetId="1">"FALSE"</definedName>
    <definedName name="EssLatest" localSheetId="13">"BegBalance"</definedName>
    <definedName name="EssLatest" localSheetId="15">"BegBalance"</definedName>
    <definedName name="EssLatest" localSheetId="6">"BegBalance"</definedName>
    <definedName name="EssLatest" localSheetId="9">"BegBalance"</definedName>
    <definedName name="EssLatest" localSheetId="8">"BegBalance"</definedName>
    <definedName name="EssLatest" localSheetId="10">"BegBalance"</definedName>
    <definedName name="EssLatest" localSheetId="4">"BegBalance"</definedName>
    <definedName name="EssLatest" localSheetId="16">"BegBalance"</definedName>
    <definedName name="EssLatest" localSheetId="19">"BegBalance"</definedName>
    <definedName name="EssLatest" localSheetId="17">"BegBalance"</definedName>
    <definedName name="EssLatest" localSheetId="12">"BegBalance"</definedName>
    <definedName name="EssLatest" localSheetId="5">"BegBalance"</definedName>
    <definedName name="EssLatest" localSheetId="14">"BegBalance"</definedName>
    <definedName name="EssLatest" localSheetId="11">"BegBalance"</definedName>
    <definedName name="EssLatest" localSheetId="18">"BegBalance"</definedName>
    <definedName name="EssLatest" localSheetId="7">"BegBalance"</definedName>
    <definedName name="EssLatest" localSheetId="1">"BegBalance"</definedName>
    <definedName name="EssOptions" localSheetId="13">"A1100000000121000011001101120_020 020 "</definedName>
    <definedName name="EssOptions" localSheetId="15">"A1100000000121000011001101120_020 020 "</definedName>
    <definedName name="EssOptions" localSheetId="6">"A1100000000121000011001101120_020 020 "</definedName>
    <definedName name="EssOptions" localSheetId="9">"A1100000000121000011001101120_020 020 "</definedName>
    <definedName name="EssOptions" localSheetId="8">"A1100000000121000011001101120_020 020 "</definedName>
    <definedName name="EssOptions" localSheetId="10">"A1100000000121000011001101120_020 020 "</definedName>
    <definedName name="EssOptions" localSheetId="4">"A1100000000121000011001101120_020 020 "</definedName>
    <definedName name="EssOptions" localSheetId="16">"A1100000000121000011001101120_020 020 "</definedName>
    <definedName name="EssOptions" localSheetId="19">"A1100000000121000011001101120_020 020 "</definedName>
    <definedName name="EssOptions" localSheetId="17">"A1100000000121000011001101120_020 020 "</definedName>
    <definedName name="EssOptions" localSheetId="12">"A1100000000121000011001101120_020 020 "</definedName>
    <definedName name="EssOptions" localSheetId="5">"A1100000000121000011001101120_020 020 "</definedName>
    <definedName name="EssOptions" localSheetId="14">"A1100000000121000011001101120_020 020 "</definedName>
    <definedName name="EssOptions" localSheetId="11">"A1100000000121000011001101120_020 020 "</definedName>
    <definedName name="EssOptions" localSheetId="18">"A1100000000121000011001101120_020 020 "</definedName>
    <definedName name="EssOptions" localSheetId="7">"A1100000000121000011001101120_020 020 "</definedName>
    <definedName name="EssOptions" localSheetId="1">"A1100000000111000011001101020_01000"</definedName>
    <definedName name="EssSamplingValue" localSheetId="13">100</definedName>
    <definedName name="EssSamplingValue" localSheetId="15">100</definedName>
    <definedName name="EssSamplingValue" localSheetId="6">100</definedName>
    <definedName name="EssSamplingValue" localSheetId="9">100</definedName>
    <definedName name="EssSamplingValue" localSheetId="8">100</definedName>
    <definedName name="EssSamplingValue" localSheetId="10">100</definedName>
    <definedName name="EssSamplingValue" localSheetId="4">100</definedName>
    <definedName name="EssSamplingValue" localSheetId="16">100</definedName>
    <definedName name="EssSamplingValue" localSheetId="19">100</definedName>
    <definedName name="EssSamplingValue" localSheetId="17">100</definedName>
    <definedName name="EssSamplingValue" localSheetId="12">100</definedName>
    <definedName name="EssSamplingValue" localSheetId="5">100</definedName>
    <definedName name="EssSamplingValue" localSheetId="14">100</definedName>
    <definedName name="EssSamplingValue" localSheetId="11">100</definedName>
    <definedName name="EssSamplingValue" localSheetId="18">100</definedName>
    <definedName name="EssSamplingValue" localSheetId="7">100</definedName>
    <definedName name="EssSamplingValue" localSheetId="1">100</definedName>
    <definedName name="ew" localSheetId="1" hidden="1">{"Side 1",#N/A,FALSE,"Hovedark";"Side 2",#N/A,FALSE,"Hovedark";"Cash Flow",#N/A,FALSE,"Hovedark";"Butik_oms",#N/A,FALSE,"Omsætning";"Lande_oms",#N/A,FALSE,"Land";"Halvår",#N/A,FALSE,"Halvår";"Valuation",#N/A,FALSE,"Valuation";"DCF",#N/A,FALSE,"DCF";"Bidrag",#N/A,FALSE,"Bidrag";"Bagside DK",#N/A,FALSE,"Bagside"}</definedName>
    <definedName name="ew" hidden="1">{"Side 1",#N/A,FALSE,"Hovedark";"Side 2",#N/A,FALSE,"Hovedark";"Cash Flow",#N/A,FALSE,"Hovedark";"Butik_oms",#N/A,FALSE,"Omsætning";"Lande_oms",#N/A,FALSE,"Land";"Halvår",#N/A,FALSE,"Halvår";"Valuation",#N/A,FALSE,"Valuation";"DCF",#N/A,FALSE,"DCF";"Bidrag",#N/A,FALSE,"Bidrag";"Bagside DK",#N/A,FALSE,"Bagside"}</definedName>
    <definedName name="fvq" localSheetId="1" hidden="1">{"Side 1",#N/A,FALSE,"Hovedark";"Side 2",#N/A,FALSE,"Hovedark";"Cash Flow",#N/A,FALSE,"Hovedark";"Breakdown",#N/A,FALSE,"Breakdown";"Valuation",#N/A,FALSE,"Valuation";"Bidrag",#N/A,FALSE,"Bidrag"}</definedName>
    <definedName name="fvq" hidden="1">{"Side 1",#N/A,FALSE,"Hovedark";"Side 2",#N/A,FALSE,"Hovedark";"Cash Flow",#N/A,FALSE,"Hovedark";"Breakdown",#N/A,FALSE,"Breakdown";"Valuation",#N/A,FALSE,"Valuation";"Bidrag",#N/A,FALSE,"Bidrag"}</definedName>
    <definedName name="GROUP" localSheetId="13">#REF!</definedName>
    <definedName name="GROUP" localSheetId="15">#REF!</definedName>
    <definedName name="GROUP" localSheetId="6">#REF!</definedName>
    <definedName name="GROUP" localSheetId="9">#REF!</definedName>
    <definedName name="GROUP" localSheetId="8">#REF!</definedName>
    <definedName name="GROUP" localSheetId="10">#REF!</definedName>
    <definedName name="GROUP" localSheetId="16">#REF!</definedName>
    <definedName name="GROUP" localSheetId="19">#REF!</definedName>
    <definedName name="GROUP" localSheetId="17">#REF!</definedName>
    <definedName name="GROUP" localSheetId="12">#REF!</definedName>
    <definedName name="GROUP" localSheetId="14">#REF!</definedName>
    <definedName name="GROUP" localSheetId="11">#REF!</definedName>
    <definedName name="GROUP" localSheetId="18">#REF!</definedName>
    <definedName name="GROUP" localSheetId="7">#REF!</definedName>
    <definedName name="GROUP">#REF!</definedName>
    <definedName name="hei" localSheetId="1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hei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henning" localSheetId="1" hidden="1">{"Side 1",#N/A,FALSE,"Hovedark";"Side 2",#N/A,FALSE,"Hovedark";"Cash Flow",#N/A,FALSE,"Hovedark";"Breakdown",#N/A,FALSE,"Breakdown";"Valuation",#N/A,FALSE,"Valuation";"Bidrag",#N/A,FALSE,"Bidrag"}</definedName>
    <definedName name="henning" hidden="1">{"Side 1",#N/A,FALSE,"Hovedark";"Side 2",#N/A,FALSE,"Hovedark";"Cash Flow",#N/A,FALSE,"Hovedark";"Breakdown",#N/A,FALSE,"Breakdown";"Valuation",#N/A,FALSE,"Valuation";"Bidrag",#N/A,FALSE,"Bidrag"}</definedName>
    <definedName name="k_kost" localSheetId="1">'[2]K-kost'!$A$9:$J$37</definedName>
    <definedName name="k_kost">'[3]K-kost'!$A$9:$J$37</definedName>
    <definedName name="k_kost_akk" localSheetId="1">'[2]K-kost'!$O$8:$AA$42</definedName>
    <definedName name="k_kost_akk">'[3]K-kost'!$O$8:$AA$42</definedName>
    <definedName name="kdfløs">[4]Front!$E$15</definedName>
    <definedName name="Kopieringsområde" localSheetId="1">'[7]Business Sol'!$A$7:$K$77</definedName>
    <definedName name="Kopieringsområde">'[8]Business Sol'!$A$7:$K$77</definedName>
    <definedName name="Lösenord" localSheetId="13">#REF!</definedName>
    <definedName name="Lösenord" localSheetId="15">#REF!</definedName>
    <definedName name="Lösenord" localSheetId="6">#REF!</definedName>
    <definedName name="Lösenord" localSheetId="9">#REF!</definedName>
    <definedName name="Lösenord" localSheetId="8">#REF!</definedName>
    <definedName name="Lösenord" localSheetId="10">#REF!</definedName>
    <definedName name="Lösenord" localSheetId="4">#REF!</definedName>
    <definedName name="Lösenord" localSheetId="16">#REF!</definedName>
    <definedName name="Lösenord" localSheetId="19">#REF!</definedName>
    <definedName name="Lösenord" localSheetId="17">#REF!</definedName>
    <definedName name="Lösenord" localSheetId="12">#REF!</definedName>
    <definedName name="Lösenord" localSheetId="5">#REF!</definedName>
    <definedName name="Lösenord" localSheetId="14">#REF!</definedName>
    <definedName name="Lösenord" localSheetId="0">#REF!</definedName>
    <definedName name="Lösenord" localSheetId="11">#REF!</definedName>
    <definedName name="Lösenord" localSheetId="18">#REF!</definedName>
    <definedName name="Lösenord" localSheetId="7">#REF!</definedName>
    <definedName name="Lösenord" localSheetId="1">#REF!</definedName>
    <definedName name="Lösenord">#REF!</definedName>
    <definedName name="mnd">[9]Minoritet_merverd!$B$2</definedName>
    <definedName name="Month" localSheetId="13">[4]Front!#REF!</definedName>
    <definedName name="Month" localSheetId="15">[4]Front!#REF!</definedName>
    <definedName name="Month" localSheetId="6">[4]Front!#REF!</definedName>
    <definedName name="Month" localSheetId="9">[4]Front!#REF!</definedName>
    <definedName name="Month" localSheetId="8">[4]Front!#REF!</definedName>
    <definedName name="Month" localSheetId="10">[4]Front!#REF!</definedName>
    <definedName name="Month" localSheetId="4">[4]Front!#REF!</definedName>
    <definedName name="Month" localSheetId="16">[4]Front!#REF!</definedName>
    <definedName name="Month" localSheetId="19">[4]Front!#REF!</definedName>
    <definedName name="Month" localSheetId="17">[4]Front!#REF!</definedName>
    <definedName name="Month" localSheetId="12">[4]Front!#REF!</definedName>
    <definedName name="Month" localSheetId="5">[4]Front!#REF!</definedName>
    <definedName name="Month" localSheetId="14">[4]Front!#REF!</definedName>
    <definedName name="Month" localSheetId="0">[4]Front!#REF!</definedName>
    <definedName name="Month" localSheetId="11">[4]Front!#REF!</definedName>
    <definedName name="Month" localSheetId="18">[4]Front!#REF!</definedName>
    <definedName name="Month" localSheetId="7">[4]Front!#REF!</definedName>
    <definedName name="Month" localSheetId="1">[4]Front!#REF!</definedName>
    <definedName name="Month">[4]Front!#REF!</definedName>
    <definedName name="måned" localSheetId="1">[10]Grunndata!$B$3:$C$14</definedName>
    <definedName name="måned">[11]Grunndata!$B$3:$C$14</definedName>
    <definedName name="Period" localSheetId="1">[4]Front!#REF!</definedName>
    <definedName name="Period">[5]Front!$E$12</definedName>
    <definedName name="_xlnm.Print_Area" localSheetId="13">Broadcast!$A$1:$I$36</definedName>
    <definedName name="_xlnm.Print_Area" localSheetId="15">Bulgaria!$A$1:$G$37</definedName>
    <definedName name="_xlnm.Print_Area" localSheetId="6">Denmark!$A$1:$I$36</definedName>
    <definedName name="_xlnm.Print_Area" localSheetId="9">digi!$A$1:$I$36</definedName>
    <definedName name="_xlnm.Print_Area" localSheetId="8">dtac!$A$1:$I$36</definedName>
    <definedName name="_xlnm.Print_Area" localSheetId="10">Grameenphone!$A$1:$I$36</definedName>
    <definedName name="_xlnm.Print_Area" localSheetId="4">GROUP!$A$1:$I$37</definedName>
    <definedName name="_xlnm.Print_Area" localSheetId="16">Hungary!$A$1:$G$36</definedName>
    <definedName name="_xlnm.Print_Area" localSheetId="19">India!$A$1:$F$36</definedName>
    <definedName name="_xlnm.Print_Area" localSheetId="17">Montenegro!$A$1:$G$36</definedName>
    <definedName name="_xlnm.Print_Area" localSheetId="12">Myanmar!$A$1:$G$36</definedName>
    <definedName name="_xlnm.Print_Area" localSheetId="5">Norway!$A$1:$I$37</definedName>
    <definedName name="_xlnm.Print_Area" localSheetId="14">'Other units'!$A$1:$I$36</definedName>
    <definedName name="_xlnm.Print_Area" localSheetId="0">'Other_DK (not in use)'!$B$7:$AR$27</definedName>
    <definedName name="_xlnm.Print_Area" localSheetId="11">Pakistan!$A$1:$I$36</definedName>
    <definedName name="_xlnm.Print_Area" localSheetId="18">Serbia!$A$1:$G$36</definedName>
    <definedName name="_xlnm.Print_Area" localSheetId="7">Sweden!$A$1:$I$36</definedName>
    <definedName name="_xlnm.Print_Area" localSheetId="1">'Web File adj Other for Q1-16'!#REF!</definedName>
    <definedName name="_xlnm.Print_Area">#N/A</definedName>
    <definedName name="_xlnm.Print_Titles">#N/A</definedName>
    <definedName name="proforma" localSheetId="13">[1]proforma!#REF!</definedName>
    <definedName name="proforma" localSheetId="15">[1]proforma!#REF!</definedName>
    <definedName name="proforma" localSheetId="6">[1]proforma!#REF!</definedName>
    <definedName name="proforma" localSheetId="9">[1]proforma!#REF!</definedName>
    <definedName name="proforma" localSheetId="8">[1]proforma!#REF!</definedName>
    <definedName name="proforma" localSheetId="10">[1]proforma!#REF!</definedName>
    <definedName name="proforma" localSheetId="4">[1]proforma!#REF!</definedName>
    <definedName name="proforma" localSheetId="16">[1]proforma!#REF!</definedName>
    <definedName name="proforma" localSheetId="19">[1]proforma!#REF!</definedName>
    <definedName name="proforma" localSheetId="17">[1]proforma!#REF!</definedName>
    <definedName name="proforma" localSheetId="12">[1]proforma!#REF!</definedName>
    <definedName name="proforma" localSheetId="5">[1]proforma!#REF!</definedName>
    <definedName name="proforma" localSheetId="14">[1]proforma!#REF!</definedName>
    <definedName name="proforma" localSheetId="0">[1]proforma!#REF!</definedName>
    <definedName name="proforma" localSheetId="11">[1]proforma!#REF!</definedName>
    <definedName name="proforma" localSheetId="18">[1]proforma!#REF!</definedName>
    <definedName name="proforma" localSheetId="7">[1]proforma!#REF!</definedName>
    <definedName name="proforma" localSheetId="1">[1]proforma!#REF!</definedName>
    <definedName name="proforma">[1]proforma!#REF!</definedName>
    <definedName name="RapportTyp" localSheetId="13">#REF!</definedName>
    <definedName name="RapportTyp" localSheetId="15">#REF!</definedName>
    <definedName name="RapportTyp" localSheetId="6">#REF!</definedName>
    <definedName name="RapportTyp" localSheetId="9">#REF!</definedName>
    <definedName name="RapportTyp" localSheetId="8">#REF!</definedName>
    <definedName name="RapportTyp" localSheetId="10">#REF!</definedName>
    <definedName name="RapportTyp" localSheetId="4">#REF!</definedName>
    <definedName name="RapportTyp" localSheetId="16">#REF!</definedName>
    <definedName name="RapportTyp" localSheetId="19">#REF!</definedName>
    <definedName name="RapportTyp" localSheetId="17">#REF!</definedName>
    <definedName name="RapportTyp" localSheetId="12">#REF!</definedName>
    <definedName name="RapportTyp" localSheetId="5">#REF!</definedName>
    <definedName name="RapportTyp" localSheetId="14">#REF!</definedName>
    <definedName name="RapportTyp" localSheetId="0">#REF!</definedName>
    <definedName name="RapportTyp" localSheetId="11">#REF!</definedName>
    <definedName name="RapportTyp" localSheetId="18">#REF!</definedName>
    <definedName name="RapportTyp" localSheetId="7">#REF!</definedName>
    <definedName name="RapportTyp" localSheetId="1">#REF!</definedName>
    <definedName name="RapportTyp">#REF!</definedName>
    <definedName name="RDT" localSheetId="1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RDT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res_2002" localSheetId="13">#REF!</definedName>
    <definedName name="res_2002" localSheetId="15">#REF!</definedName>
    <definedName name="res_2002" localSheetId="6">#REF!</definedName>
    <definedName name="res_2002" localSheetId="9">#REF!</definedName>
    <definedName name="res_2002" localSheetId="8">#REF!</definedName>
    <definedName name="res_2002" localSheetId="10">#REF!</definedName>
    <definedName name="res_2002" localSheetId="4">#REF!</definedName>
    <definedName name="res_2002" localSheetId="16">#REF!</definedName>
    <definedName name="res_2002" localSheetId="19">#REF!</definedName>
    <definedName name="res_2002" localSheetId="17">#REF!</definedName>
    <definedName name="res_2002" localSheetId="12">#REF!</definedName>
    <definedName name="res_2002" localSheetId="5">#REF!</definedName>
    <definedName name="res_2002" localSheetId="14">#REF!</definedName>
    <definedName name="res_2002" localSheetId="0">#REF!</definedName>
    <definedName name="res_2002" localSheetId="11">#REF!</definedName>
    <definedName name="res_2002" localSheetId="18">#REF!</definedName>
    <definedName name="res_2002" localSheetId="7">#REF!</definedName>
    <definedName name="res_2002" localSheetId="1">#REF!</definedName>
    <definedName name="res_2002">#REF!</definedName>
    <definedName name="res_2002_a" localSheetId="13">#REF!</definedName>
    <definedName name="res_2002_a" localSheetId="15">#REF!</definedName>
    <definedName name="res_2002_a" localSheetId="6">#REF!</definedName>
    <definedName name="res_2002_a" localSheetId="9">#REF!</definedName>
    <definedName name="res_2002_a" localSheetId="8">#REF!</definedName>
    <definedName name="res_2002_a" localSheetId="10">#REF!</definedName>
    <definedName name="res_2002_a" localSheetId="4">#REF!</definedName>
    <definedName name="res_2002_a" localSheetId="16">#REF!</definedName>
    <definedName name="res_2002_a" localSheetId="19">#REF!</definedName>
    <definedName name="res_2002_a" localSheetId="17">#REF!</definedName>
    <definedName name="res_2002_a" localSheetId="12">#REF!</definedName>
    <definedName name="res_2002_a" localSheetId="5">#REF!</definedName>
    <definedName name="res_2002_a" localSheetId="14">#REF!</definedName>
    <definedName name="res_2002_a" localSheetId="0">#REF!</definedName>
    <definedName name="res_2002_a" localSheetId="11">#REF!</definedName>
    <definedName name="res_2002_a" localSheetId="18">#REF!</definedName>
    <definedName name="res_2002_a" localSheetId="7">#REF!</definedName>
    <definedName name="res_2002_a" localSheetId="1">#REF!</definedName>
    <definedName name="res_2002_a">#REF!</definedName>
    <definedName name="TelenorGroup" localSheetId="13">#REF!</definedName>
    <definedName name="TelenorGroup" localSheetId="15">#REF!</definedName>
    <definedName name="TelenorGroup" localSheetId="6">#REF!</definedName>
    <definedName name="TelenorGroup" localSheetId="9">#REF!</definedName>
    <definedName name="TelenorGroup" localSheetId="8">#REF!</definedName>
    <definedName name="TelenorGroup" localSheetId="10">#REF!</definedName>
    <definedName name="TelenorGroup" localSheetId="16">#REF!</definedName>
    <definedName name="TelenorGroup" localSheetId="19">#REF!</definedName>
    <definedName name="TelenorGroup" localSheetId="17">#REF!</definedName>
    <definedName name="TelenorGroup" localSheetId="12">#REF!</definedName>
    <definedName name="TelenorGroup" localSheetId="14">#REF!</definedName>
    <definedName name="TelenorGroup" localSheetId="11">#REF!</definedName>
    <definedName name="TelenorGroup" localSheetId="18">#REF!</definedName>
    <definedName name="TelenorGroup" localSheetId="7">#REF!</definedName>
    <definedName name="TelenorGroup">#REF!</definedName>
    <definedName name="test" localSheetId="13">[1]proforma!#REF!</definedName>
    <definedName name="test" localSheetId="15">[1]proforma!#REF!</definedName>
    <definedName name="test" localSheetId="6">[1]proforma!#REF!</definedName>
    <definedName name="test" localSheetId="9">[1]proforma!#REF!</definedName>
    <definedName name="test" localSheetId="8">[1]proforma!#REF!</definedName>
    <definedName name="test" localSheetId="10">[1]proforma!#REF!</definedName>
    <definedName name="test" localSheetId="16">[1]proforma!#REF!</definedName>
    <definedName name="test" localSheetId="19">[1]proforma!#REF!</definedName>
    <definedName name="test" localSheetId="17">[1]proforma!#REF!</definedName>
    <definedName name="test" localSheetId="12">[1]proforma!#REF!</definedName>
    <definedName name="test" localSheetId="14">[1]proforma!#REF!</definedName>
    <definedName name="test" localSheetId="11">[1]proforma!#REF!</definedName>
    <definedName name="test" localSheetId="18">[1]proforma!#REF!</definedName>
    <definedName name="test" localSheetId="7">[1]proforma!#REF!</definedName>
    <definedName name="test">[1]proforma!#REF!</definedName>
    <definedName name="Transaction_Type" localSheetId="1">[4]Front!$E$15</definedName>
    <definedName name="Transaction_Type">[5]Front!$E$20</definedName>
    <definedName name="vew" localSheetId="1" hidden="1">{"Res_og_nøgle",#N/A,FALSE,"Hovedark";"Balance",#N/A,FALSE,"Hovedark";"Bagside_DK",#N/A,FALSE,"Bagside"}</definedName>
    <definedName name="vew" hidden="1">{"Res_og_nøgle",#N/A,FALSE,"Hovedark";"Balance",#N/A,FALSE,"Hovedark";"Bagside_DK",#N/A,FALSE,"Bagside"}</definedName>
    <definedName name="vis_måned" localSheetId="1">[10]Grunndata!$A$3:$B$14</definedName>
    <definedName name="vis_måned">[11]Grunndata!$A$3:$B$14</definedName>
    <definedName name="wrn.C_G_Hele." localSheetId="1" hidden="1">{"Side 1",#N/A,FALSE,"Hovedark";"Side 2",#N/A,FALSE,"Hovedark";"Cash Flow",#N/A,FALSE,"Hovedark";"Butik_oms",#N/A,FALSE,"Omsætning";"Lande_oms",#N/A,FALSE,"Land";"Halvår",#N/A,FALSE,"Halvår";"Valuation",#N/A,FALSE,"Valuation";"DCF",#N/A,FALSE,"DCF";"Bidrag",#N/A,FALSE,"Bidrag";"Bagside DK",#N/A,FALSE,"Bagside"}</definedName>
    <definedName name="wrn.C_G_Hele." hidden="1">{"Side 1",#N/A,FALSE,"Hovedark";"Side 2",#N/A,FALSE,"Hovedark";"Cash Flow",#N/A,FALSE,"Hovedark";"Butik_oms",#N/A,FALSE,"Omsætning";"Lande_oms",#N/A,FALSE,"Land";"Halvår",#N/A,FALSE,"Halvår";"Valuation",#N/A,FALSE,"Valuation";"DCF",#N/A,FALSE,"DCF";"Bidrag",#N/A,FALSE,"Bidrag";"Bagside DK",#N/A,FALSE,"Bagside"}</definedName>
    <definedName name="wrn.Central." localSheetId="1" hidden="1">{"Side 1",#N/A,FALSE,"Hovedark";"Side 2",#N/A,FALSE,"Hovedark";"Side 3",#N/A,FALSE,"Hovedark"}</definedName>
    <definedName name="wrn.Central." hidden="1">{"Side 1",#N/A,FALSE,"Hovedark";"Side 2",#N/A,FALSE,"Hovedark";"Side 3",#N/A,FALSE,"Hovedark"}</definedName>
    <definedName name="wrn.Dahl." localSheetId="1" hidden="1">{"Resultat",#N/A,TRUE,"Hovedtal";"Balance",#N/A,TRUE,"Hovedtal";"Cash_Flow",#N/A,TRUE,"Hovedtal"}</definedName>
    <definedName name="wrn.Dahl." hidden="1">{"Resultat",#N/A,TRUE,"Hovedtal";"Balance",#N/A,TRUE,"Hovedtal";"Cash_Flow",#N/A,TRUE,"Hovedtal"}</definedName>
    <definedName name="wrn.DLH_hele." localSheetId="1" hidden="1">{"Side 1",#N/A,FALSE,"Hovedark";"Side 2",#N/A,FALSE,"Hovedark";"Cash Flow",#N/A,FALSE,"Hovedark";"Breakdown",#N/A,FALSE,"Breakdown";"Valuation",#N/A,FALSE,"Valuation";"Bidrag",#N/A,FALSE,"Bidrag"}</definedName>
    <definedName name="wrn.DLH_hele." hidden="1">{"Side 1",#N/A,FALSE,"Hovedark";"Side 2",#N/A,FALSE,"Hovedark";"Cash Flow",#N/A,FALSE,"Hovedark";"Breakdown",#N/A,FALSE,"Breakdown";"Valuation",#N/A,FALSE,"Valuation";"Bidrag",#N/A,FALSE,"Bidrag"}</definedName>
    <definedName name="wrn.Flugger." localSheetId="1" hidden="1">{"Res_og_nøgle",#N/A,FALSE,"Hovedark";"Balance",#N/A,FALSE,"Hovedark";"Bagside_DK",#N/A,FALSE,"Bagside"}</definedName>
    <definedName name="wrn.Flugger." hidden="1">{"Res_og_nøgle",#N/A,FALSE,"Hovedark";"Balance",#N/A,FALSE,"Hovedark";"Bagside_DK",#N/A,FALSE,"Bagside"}</definedName>
    <definedName name="wrn.Hele." localSheetId="1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wrn.Hele.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wrn.InWear_Hele." localSheetId="1" hidden="1">{"Side 1",#N/A,FALSE,"Hovedark";"Side 2",#N/A,FALSE,"Hovedark";"Cash Flow",#N/A,FALSE,"Hovedark";"Valuation",#N/A,FALSE,"Valuation";"Bagside DK",#N/A,FALSE,"Bagside";"Overblik",#N/A,FALSE,"Butikker";"Egne_but",#N/A,FALSE,"Butikker";"Andet_salg",#N/A,FALSE,"Butikker";"Halvår",#N/A,FALSE,"Halvår";"Investeringer",#N/A,FALSE,"Investeringer"}</definedName>
    <definedName name="wrn.InWear_Hele." hidden="1">{"Side 1",#N/A,FALSE,"Hovedark";"Side 2",#N/A,FALSE,"Hovedark";"Cash Flow",#N/A,FALSE,"Hovedark";"Valuation",#N/A,FALSE,"Valuation";"Bagside DK",#N/A,FALSE,"Bagside";"Overblik",#N/A,FALSE,"Butikker";"Egne_but",#N/A,FALSE,"Butikker";"Andet_salg",#N/A,FALSE,"Butikker";"Halvår",#N/A,FALSE,"Halvår";"Investeringer",#N/A,FALSE,"Investeringer"}</definedName>
    <definedName name="wrn.Jamo_Hele." localSheetId="1" hidden="1">{"Side 1",#N/A,FALSE,"Hovedark";"Side 2",#N/A,FALSE,"Hovedark";"Cash Flow",#N/A,FALSE,"Hovedark";"Bagside DK",#N/A,FALSE,"Bagside";"Bidrag",#N/A,FALSE,"Bidrag";"Valuation",#N/A,FALSE,"Valuation";"Privatforbrug",#N/A,FALSE,"Macro";"Penetreing",#N/A,FALSE,"Oms. forv.";"Prod_Markeder",#N/A,FALSE,"Oms. forv.";"penetreing",#N/A,FALSE,"Penetrering"}</definedName>
    <definedName name="wrn.Jamo_Hele." hidden="1">{"Side 1",#N/A,FALSE,"Hovedark";"Side 2",#N/A,FALSE,"Hovedark";"Cash Flow",#N/A,FALSE,"Hovedark";"Bagside DK",#N/A,FALSE,"Bagside";"Bidrag",#N/A,FALSE,"Bidrag";"Valuation",#N/A,FALSE,"Valuation";"Privatforbrug",#N/A,FALSE,"Macro";"Penetreing",#N/A,FALSE,"Oms. forv.";"Prod_Markeder",#N/A,FALSE,"Oms. forv.";"penetreing",#N/A,FALSE,"Penetrering"}</definedName>
    <definedName name="wrn.pip." localSheetId="1" hidden="1">{"Aar",#N/A,FALSE,"Divisioner";"Kvartaler",#N/A,FALSE,"Divisioner";"Aggregering",#N/A,FALSE,"Divisioner";"Aar",#N/A,FALSE,"Norge div. (gl)";"Kvartal",#N/A,FALSE,"Norge div. (gl)";"Samling",#N/A,FALSE,"Norge div. (gl)"}</definedName>
    <definedName name="wrn.pip." hidden="1">{"Aar",#N/A,FALSE,"Divisioner";"Kvartaler",#N/A,FALSE,"Divisioner";"Aggregering",#N/A,FALSE,"Divisioner";"Aar",#N/A,FALSE,"Norge div. (gl)";"Kvartal",#N/A,FALSE,"Norge div. (gl)";"Samling",#N/A,FALSE,"Norge div. (gl)"}</definedName>
    <definedName name="wrn.Temp." localSheetId="1" hidden="1">{"Side 1",#N/A,FALSE,"Hovedark";"Valuation",#N/A,FALSE,"Valuation";"Side 2",#N/A,FALSE,"Hovedark";"Cash Flow",#N/A,FALSE,"Hovedark";"Bidrag",#N/A,FALSE,"Bidrag"}</definedName>
    <definedName name="wrn.Temp." hidden="1">{"Side 1",#N/A,FALSE,"Hovedark";"Valuation",#N/A,FALSE,"Valuation";"Side 2",#N/A,FALSE,"Hovedark";"Cash Flow",#N/A,FALSE,"Hovedark";"Bidrag",#N/A,FALSE,"Bidrag"}</definedName>
    <definedName name="Year">[4]Front!$E$12</definedName>
  </definedNames>
  <calcPr calcId="162913"/>
</workbook>
</file>

<file path=xl/calcChain.xml><?xml version="1.0" encoding="utf-8"?>
<calcChain xmlns="http://schemas.openxmlformats.org/spreadsheetml/2006/main">
  <c r="L30" i="132" l="1"/>
  <c r="K30" i="132"/>
  <c r="J30" i="132"/>
  <c r="J39" i="132" s="1"/>
  <c r="I30" i="132"/>
  <c r="H30" i="132"/>
  <c r="G30" i="132"/>
  <c r="F30" i="132"/>
  <c r="F39" i="132" s="1"/>
  <c r="E30" i="132"/>
  <c r="D30" i="132"/>
  <c r="C30" i="132"/>
  <c r="L23" i="132"/>
  <c r="L26" i="132" s="1"/>
  <c r="K23" i="132"/>
  <c r="K26" i="132" s="1"/>
  <c r="J23" i="132"/>
  <c r="J26" i="132" s="1"/>
  <c r="I23" i="132"/>
  <c r="I26" i="132" s="1"/>
  <c r="H23" i="132"/>
  <c r="H26" i="132" s="1"/>
  <c r="G23" i="132"/>
  <c r="G26" i="132" s="1"/>
  <c r="F23" i="132"/>
  <c r="F26" i="132" s="1"/>
  <c r="E23" i="132"/>
  <c r="E26" i="132" s="1"/>
  <c r="D23" i="132"/>
  <c r="D26" i="132" s="1"/>
  <c r="C23" i="132"/>
  <c r="C26" i="132" s="1"/>
  <c r="L16" i="132"/>
  <c r="L19" i="132" s="1"/>
  <c r="K16" i="132"/>
  <c r="K19" i="132" s="1"/>
  <c r="J16" i="132"/>
  <c r="J19" i="132" s="1"/>
  <c r="I16" i="132"/>
  <c r="I19" i="132" s="1"/>
  <c r="H16" i="132"/>
  <c r="H19" i="132" s="1"/>
  <c r="G16" i="132"/>
  <c r="G19" i="132" s="1"/>
  <c r="F16" i="132"/>
  <c r="F19" i="132" s="1"/>
  <c r="E16" i="132"/>
  <c r="E19" i="132" s="1"/>
  <c r="D16" i="132"/>
  <c r="D19" i="132" s="1"/>
  <c r="C16" i="132"/>
  <c r="C19" i="132" s="1"/>
  <c r="L9" i="132"/>
  <c r="K9" i="132"/>
  <c r="K38" i="132" s="1"/>
  <c r="J9" i="132"/>
  <c r="J38" i="132" s="1"/>
  <c r="I9" i="132"/>
  <c r="H9" i="132"/>
  <c r="G9" i="132"/>
  <c r="G38" i="132" s="1"/>
  <c r="F9" i="132"/>
  <c r="F38" i="132" s="1"/>
  <c r="E9" i="132"/>
  <c r="D9" i="132"/>
  <c r="C9" i="132"/>
  <c r="C38" i="132" s="1"/>
  <c r="J12" i="132" l="1"/>
  <c r="F33" i="132"/>
  <c r="E33" i="132"/>
  <c r="E39" i="132"/>
  <c r="H12" i="132"/>
  <c r="H38" i="132"/>
  <c r="J33" i="132"/>
  <c r="E12" i="132"/>
  <c r="E38" i="132"/>
  <c r="I12" i="132"/>
  <c r="I38" i="132"/>
  <c r="C12" i="132"/>
  <c r="K12" i="132"/>
  <c r="C33" i="132"/>
  <c r="C39" i="132"/>
  <c r="G33" i="132"/>
  <c r="G39" i="132"/>
  <c r="K33" i="132"/>
  <c r="K39" i="132"/>
  <c r="G12" i="132"/>
  <c r="I33" i="132"/>
  <c r="I39" i="132"/>
  <c r="D12" i="132"/>
  <c r="D38" i="132"/>
  <c r="L12" i="132"/>
  <c r="L38" i="132"/>
  <c r="F12" i="132"/>
  <c r="D33" i="132"/>
  <c r="D39" i="132"/>
  <c r="H33" i="132"/>
  <c r="H39" i="132"/>
  <c r="L33" i="132"/>
  <c r="L39" i="132"/>
  <c r="M39" i="132" l="1"/>
  <c r="M38" i="132"/>
  <c r="M26" i="131" l="1"/>
  <c r="L26" i="131"/>
  <c r="K26" i="131"/>
  <c r="J26" i="131"/>
  <c r="G26" i="131"/>
  <c r="AA26" i="131" s="1"/>
  <c r="E26" i="131"/>
  <c r="Z26" i="131" s="1"/>
  <c r="J22" i="131"/>
  <c r="AD22" i="131" s="1"/>
  <c r="M27" i="131"/>
  <c r="L27" i="131"/>
  <c r="K27" i="131"/>
  <c r="J27" i="131"/>
  <c r="AD27" i="131" s="1"/>
  <c r="M23" i="131"/>
  <c r="L23" i="131"/>
  <c r="K23" i="131"/>
  <c r="J23" i="131"/>
  <c r="AD23" i="131" s="1"/>
  <c r="M22" i="131"/>
  <c r="L22" i="131"/>
  <c r="K22" i="131"/>
  <c r="M20" i="131"/>
  <c r="L20" i="131"/>
  <c r="K20" i="131"/>
  <c r="J20" i="131"/>
  <c r="AD20" i="131" s="1"/>
  <c r="M19" i="131"/>
  <c r="L19" i="131"/>
  <c r="K19" i="131"/>
  <c r="J19" i="131"/>
  <c r="AD19" i="131" s="1"/>
  <c r="M16" i="131"/>
  <c r="L16" i="131"/>
  <c r="K16" i="131"/>
  <c r="J16" i="131"/>
  <c r="M15" i="131"/>
  <c r="L15" i="131"/>
  <c r="K15" i="131"/>
  <c r="J15" i="131"/>
  <c r="AD15" i="131" s="1"/>
  <c r="M14" i="131"/>
  <c r="L14" i="131"/>
  <c r="K14" i="131"/>
  <c r="J14" i="131"/>
  <c r="AD14" i="131" s="1"/>
  <c r="M13" i="131"/>
  <c r="M17" i="131" s="1"/>
  <c r="L13" i="131"/>
  <c r="K13" i="131"/>
  <c r="J13" i="131"/>
  <c r="AD13" i="131" s="1"/>
  <c r="G27" i="131"/>
  <c r="AA27" i="131" s="1"/>
  <c r="E27" i="131"/>
  <c r="Z27" i="131" s="1"/>
  <c r="G23" i="131"/>
  <c r="AA23" i="131" s="1"/>
  <c r="E23" i="131"/>
  <c r="Z23" i="131" s="1"/>
  <c r="G22" i="131"/>
  <c r="AA22" i="131" s="1"/>
  <c r="E22" i="131"/>
  <c r="Y22" i="131" s="1"/>
  <c r="G20" i="131"/>
  <c r="AA20" i="131" s="1"/>
  <c r="E20" i="131"/>
  <c r="G19" i="131"/>
  <c r="AA19" i="131" s="1"/>
  <c r="E19" i="131"/>
  <c r="G16" i="131"/>
  <c r="AA16" i="131" s="1"/>
  <c r="E16" i="131"/>
  <c r="Z16" i="131" s="1"/>
  <c r="G15" i="131"/>
  <c r="AA15" i="131" s="1"/>
  <c r="E15" i="131"/>
  <c r="Y15" i="131" s="1"/>
  <c r="G14" i="131"/>
  <c r="E14" i="131"/>
  <c r="G13" i="131"/>
  <c r="AA13" i="131" s="1"/>
  <c r="E13" i="131"/>
  <c r="M12" i="131"/>
  <c r="L12" i="131"/>
  <c r="K12" i="131"/>
  <c r="J12" i="131"/>
  <c r="G12" i="131"/>
  <c r="AA12" i="131" s="1"/>
  <c r="E12" i="131"/>
  <c r="M10" i="131"/>
  <c r="L10" i="131"/>
  <c r="L11" i="131" s="1"/>
  <c r="K10" i="131"/>
  <c r="J10" i="131"/>
  <c r="G10" i="131"/>
  <c r="G11" i="131" s="1"/>
  <c r="AA11" i="131" s="1"/>
  <c r="E10" i="131"/>
  <c r="AQ108" i="131"/>
  <c r="AP108" i="131"/>
  <c r="AO108" i="131"/>
  <c r="AN108" i="131"/>
  <c r="AL108" i="131"/>
  <c r="AK108" i="131"/>
  <c r="AJ108" i="131"/>
  <c r="AI108" i="131"/>
  <c r="AG108" i="131"/>
  <c r="AF108" i="131"/>
  <c r="AE108" i="131"/>
  <c r="AD108" i="131"/>
  <c r="AA108" i="131"/>
  <c r="Z108" i="131"/>
  <c r="Y108" i="131"/>
  <c r="AQ107" i="131"/>
  <c r="AP107" i="131"/>
  <c r="AO107" i="131"/>
  <c r="AN107" i="131"/>
  <c r="AL107" i="131"/>
  <c r="AK107" i="131"/>
  <c r="AJ107" i="131"/>
  <c r="AI107" i="131"/>
  <c r="AG107" i="131"/>
  <c r="AF107" i="131"/>
  <c r="AE107" i="131"/>
  <c r="AD107" i="131"/>
  <c r="AA107" i="131"/>
  <c r="Z107" i="131"/>
  <c r="Y107" i="131"/>
  <c r="AQ105" i="131"/>
  <c r="AP105" i="131"/>
  <c r="AO105" i="131"/>
  <c r="AN105" i="131"/>
  <c r="AA105" i="131"/>
  <c r="Z105" i="131"/>
  <c r="Y105" i="131"/>
  <c r="AQ104" i="131"/>
  <c r="AP104" i="131"/>
  <c r="AO104" i="131"/>
  <c r="AN104" i="131"/>
  <c r="AL104" i="131"/>
  <c r="AK104" i="131"/>
  <c r="AJ104" i="131"/>
  <c r="AI104" i="131"/>
  <c r="AG104" i="131"/>
  <c r="AF104" i="131"/>
  <c r="AE104" i="131"/>
  <c r="AD104" i="131"/>
  <c r="AA104" i="131"/>
  <c r="Z104" i="131"/>
  <c r="Y104" i="131"/>
  <c r="AQ102" i="131"/>
  <c r="AP102" i="131"/>
  <c r="AO102" i="131"/>
  <c r="AN102" i="131"/>
  <c r="AA102" i="131"/>
  <c r="Z102" i="131"/>
  <c r="Y102" i="131"/>
  <c r="AQ101" i="131"/>
  <c r="AP101" i="131"/>
  <c r="AO101" i="131"/>
  <c r="AN101" i="131"/>
  <c r="AL101" i="131"/>
  <c r="AK101" i="131"/>
  <c r="AJ101" i="131"/>
  <c r="AI101" i="131"/>
  <c r="AG101" i="131"/>
  <c r="AF101" i="131"/>
  <c r="AE101" i="131"/>
  <c r="AD101" i="131"/>
  <c r="AA101" i="131"/>
  <c r="Z101" i="131"/>
  <c r="Y101" i="131"/>
  <c r="AQ100" i="131"/>
  <c r="AP100" i="131"/>
  <c r="AO100" i="131"/>
  <c r="AN100" i="131"/>
  <c r="AL100" i="131"/>
  <c r="AK100" i="131"/>
  <c r="AJ100" i="131"/>
  <c r="AI100" i="131"/>
  <c r="AG100" i="131"/>
  <c r="AF100" i="131"/>
  <c r="AE100" i="131"/>
  <c r="AD100" i="131"/>
  <c r="AA100" i="131"/>
  <c r="Z100" i="131"/>
  <c r="Y100" i="131"/>
  <c r="AQ99" i="131"/>
  <c r="AP99" i="131"/>
  <c r="AO99" i="131"/>
  <c r="AN99" i="131"/>
  <c r="AA99" i="131"/>
  <c r="Z99" i="131"/>
  <c r="Y99" i="131"/>
  <c r="AQ98" i="131"/>
  <c r="AP98" i="131"/>
  <c r="AO98" i="131"/>
  <c r="AN98" i="131"/>
  <c r="AA98" i="131"/>
  <c r="Z98" i="131"/>
  <c r="Y98" i="131"/>
  <c r="R98" i="131"/>
  <c r="Q98" i="131"/>
  <c r="Q99" i="131" s="1"/>
  <c r="Q102" i="131" s="1"/>
  <c r="Q105" i="131" s="1"/>
  <c r="P98" i="131"/>
  <c r="O98" i="131"/>
  <c r="O99" i="131" s="1"/>
  <c r="O102" i="131" s="1"/>
  <c r="AI102" i="131" s="1"/>
  <c r="L98" i="131"/>
  <c r="AG98" i="131" s="1"/>
  <c r="K98" i="131"/>
  <c r="J98" i="131"/>
  <c r="J99" i="131" s="1"/>
  <c r="AD99" i="131" s="1"/>
  <c r="AQ97" i="131"/>
  <c r="AP97" i="131"/>
  <c r="AO97" i="131"/>
  <c r="AN97" i="131"/>
  <c r="AL97" i="131"/>
  <c r="AK97" i="131"/>
  <c r="AJ97" i="131"/>
  <c r="AI97" i="131"/>
  <c r="AG97" i="131"/>
  <c r="AF97" i="131"/>
  <c r="AE97" i="131"/>
  <c r="AD97" i="131"/>
  <c r="AB97" i="131"/>
  <c r="AA97" i="131"/>
  <c r="Z97" i="131"/>
  <c r="Y97" i="131"/>
  <c r="AQ96" i="131"/>
  <c r="AP96" i="131"/>
  <c r="AO96" i="131"/>
  <c r="AN96" i="131"/>
  <c r="AL96" i="131"/>
  <c r="AK96" i="131"/>
  <c r="AJ96" i="131"/>
  <c r="AI96" i="131"/>
  <c r="AG96" i="131"/>
  <c r="AF96" i="131"/>
  <c r="AE96" i="131"/>
  <c r="AD96" i="131"/>
  <c r="AA96" i="131"/>
  <c r="Z96" i="131"/>
  <c r="Y96" i="131"/>
  <c r="AQ95" i="131"/>
  <c r="AP95" i="131"/>
  <c r="AO95" i="131"/>
  <c r="AN95" i="131"/>
  <c r="AL95" i="131"/>
  <c r="AK95" i="131"/>
  <c r="AJ95" i="131"/>
  <c r="AI95" i="131"/>
  <c r="AG95" i="131"/>
  <c r="AF95" i="131"/>
  <c r="AE95" i="131"/>
  <c r="AD95" i="131"/>
  <c r="AA95" i="131"/>
  <c r="Z95" i="131"/>
  <c r="Y95" i="131"/>
  <c r="AQ94" i="131"/>
  <c r="AP94" i="131"/>
  <c r="AO94" i="131"/>
  <c r="AN94" i="131"/>
  <c r="AL94" i="131"/>
  <c r="AK94" i="131"/>
  <c r="AJ94" i="131"/>
  <c r="AI94" i="131"/>
  <c r="AG94" i="131"/>
  <c r="AF94" i="131"/>
  <c r="AE94" i="131"/>
  <c r="AD94" i="131"/>
  <c r="AA94" i="131"/>
  <c r="Z94" i="131"/>
  <c r="Y94" i="131"/>
  <c r="AQ93" i="131"/>
  <c r="AP93" i="131"/>
  <c r="AO93" i="131"/>
  <c r="AN93" i="131"/>
  <c r="AL93" i="131"/>
  <c r="AK93" i="131"/>
  <c r="AJ93" i="131"/>
  <c r="AI93" i="131"/>
  <c r="AG93" i="131"/>
  <c r="AF93" i="131"/>
  <c r="AE93" i="131"/>
  <c r="AD93" i="131"/>
  <c r="AA93" i="131"/>
  <c r="Z93" i="131"/>
  <c r="Y93" i="131"/>
  <c r="AQ92" i="131"/>
  <c r="AP92" i="131"/>
  <c r="AO92" i="131"/>
  <c r="AN92" i="131"/>
  <c r="AA92" i="131"/>
  <c r="Z92" i="131"/>
  <c r="Y92" i="131"/>
  <c r="R92" i="131"/>
  <c r="Q92" i="131"/>
  <c r="P92" i="131"/>
  <c r="O92" i="131"/>
  <c r="AI92" i="131" s="1"/>
  <c r="L92" i="131"/>
  <c r="AG92" i="131" s="1"/>
  <c r="K92" i="131"/>
  <c r="J92" i="131"/>
  <c r="AD92" i="131" s="1"/>
  <c r="AQ91" i="131"/>
  <c r="AP91" i="131"/>
  <c r="AO91" i="131"/>
  <c r="AN91" i="131"/>
  <c r="AL91" i="131"/>
  <c r="AK91" i="131"/>
  <c r="AJ91" i="131"/>
  <c r="AI91" i="131"/>
  <c r="AG91" i="131"/>
  <c r="AF91" i="131"/>
  <c r="AE91" i="131"/>
  <c r="AD91" i="131"/>
  <c r="AA91" i="131"/>
  <c r="Z91" i="131"/>
  <c r="Y91" i="131"/>
  <c r="AQ90" i="131"/>
  <c r="AP90" i="131"/>
  <c r="AO90" i="131"/>
  <c r="AN90" i="131"/>
  <c r="AL90" i="131"/>
  <c r="AK90" i="131"/>
  <c r="AJ90" i="131"/>
  <c r="AI90" i="131"/>
  <c r="AG90" i="131"/>
  <c r="AF90" i="131"/>
  <c r="AE90" i="131"/>
  <c r="AD90" i="131"/>
  <c r="AA90" i="131"/>
  <c r="Z90" i="131"/>
  <c r="Y90" i="131"/>
  <c r="AO88" i="131"/>
  <c r="AJ88" i="131"/>
  <c r="AE88" i="131"/>
  <c r="Z88" i="131"/>
  <c r="U88" i="131"/>
  <c r="P88" i="131"/>
  <c r="K88" i="131"/>
  <c r="F88" i="131"/>
  <c r="AQ83" i="131"/>
  <c r="AP83" i="131"/>
  <c r="AO83" i="131"/>
  <c r="AN83" i="131"/>
  <c r="AL83" i="131"/>
  <c r="AK83" i="131"/>
  <c r="AJ83" i="131"/>
  <c r="AI83" i="131"/>
  <c r="AG83" i="131"/>
  <c r="AF83" i="131"/>
  <c r="AE83" i="131"/>
  <c r="AD83" i="131"/>
  <c r="AA83" i="131"/>
  <c r="Z83" i="131"/>
  <c r="Y83" i="131"/>
  <c r="AQ82" i="131"/>
  <c r="AP82" i="131"/>
  <c r="AO82" i="131"/>
  <c r="AN82" i="131"/>
  <c r="AL82" i="131"/>
  <c r="AG82" i="131"/>
  <c r="AF82" i="131"/>
  <c r="AE82" i="131"/>
  <c r="AD82" i="131"/>
  <c r="AA82" i="131"/>
  <c r="Z82" i="131"/>
  <c r="Y82" i="131"/>
  <c r="P82" i="131"/>
  <c r="AK82" i="131" s="1"/>
  <c r="O82" i="131"/>
  <c r="AI82" i="131" s="1"/>
  <c r="AA77" i="131"/>
  <c r="Z77" i="131"/>
  <c r="Y77" i="131"/>
  <c r="AQ76" i="131"/>
  <c r="AP76" i="131"/>
  <c r="AO76" i="131"/>
  <c r="AN76" i="131"/>
  <c r="AL76" i="131"/>
  <c r="AK76" i="131"/>
  <c r="AJ76" i="131"/>
  <c r="AI76" i="131"/>
  <c r="AG76" i="131"/>
  <c r="AF76" i="131"/>
  <c r="AE76" i="131"/>
  <c r="AD76" i="131"/>
  <c r="AA76" i="131"/>
  <c r="Z76" i="131"/>
  <c r="Y76" i="131"/>
  <c r="AQ75" i="131"/>
  <c r="AP75" i="131"/>
  <c r="AO75" i="131"/>
  <c r="AN75" i="131"/>
  <c r="AL75" i="131"/>
  <c r="AK75" i="131"/>
  <c r="AJ75" i="131"/>
  <c r="AI75" i="131"/>
  <c r="AG75" i="131"/>
  <c r="AF75" i="131"/>
  <c r="AE75" i="131"/>
  <c r="AD75" i="131"/>
  <c r="AA75" i="131"/>
  <c r="Z75" i="131"/>
  <c r="Y75" i="131"/>
  <c r="AA74" i="131"/>
  <c r="Z74" i="131"/>
  <c r="Y74" i="131"/>
  <c r="AQ73" i="131"/>
  <c r="AP73" i="131"/>
  <c r="AO73" i="131"/>
  <c r="AN73" i="131"/>
  <c r="AL73" i="131"/>
  <c r="AK73" i="131"/>
  <c r="AJ73" i="131"/>
  <c r="AI73" i="131"/>
  <c r="AG73" i="131"/>
  <c r="AF73" i="131"/>
  <c r="AE73" i="131"/>
  <c r="AD73" i="131"/>
  <c r="AA73" i="131"/>
  <c r="Z73" i="131"/>
  <c r="Y73" i="131"/>
  <c r="AQ72" i="131"/>
  <c r="AP72" i="131"/>
  <c r="AO72" i="131"/>
  <c r="AN72" i="131"/>
  <c r="AL72" i="131"/>
  <c r="AK72" i="131"/>
  <c r="AJ72" i="131"/>
  <c r="AI72" i="131"/>
  <c r="AG72" i="131"/>
  <c r="AF72" i="131"/>
  <c r="AE72" i="131"/>
  <c r="AD72" i="131"/>
  <c r="AA72" i="131"/>
  <c r="Z72" i="131"/>
  <c r="Y72" i="131"/>
  <c r="AA71" i="131"/>
  <c r="Z71" i="131"/>
  <c r="Y71" i="131"/>
  <c r="J71" i="131"/>
  <c r="AD70" i="131"/>
  <c r="AA70" i="131"/>
  <c r="Z70" i="131"/>
  <c r="Y70" i="131"/>
  <c r="W70" i="131"/>
  <c r="V70" i="131"/>
  <c r="U70" i="131"/>
  <c r="T70" i="131"/>
  <c r="AN70" i="131" s="1"/>
  <c r="R70" i="131"/>
  <c r="Q70" i="131"/>
  <c r="P70" i="131"/>
  <c r="O70" i="131"/>
  <c r="AI70" i="131" s="1"/>
  <c r="L70" i="131"/>
  <c r="AG70" i="131" s="1"/>
  <c r="K70" i="131"/>
  <c r="AE70" i="131" s="1"/>
  <c r="AQ69" i="131"/>
  <c r="AP69" i="131"/>
  <c r="AO69" i="131"/>
  <c r="AN69" i="131"/>
  <c r="AL69" i="131"/>
  <c r="AK69" i="131"/>
  <c r="AJ69" i="131"/>
  <c r="AI69" i="131"/>
  <c r="AG69" i="131"/>
  <c r="AF69" i="131"/>
  <c r="AE69" i="131"/>
  <c r="AD69" i="131"/>
  <c r="AB69" i="131"/>
  <c r="AA69" i="131"/>
  <c r="Z69" i="131"/>
  <c r="Y69" i="131"/>
  <c r="AQ68" i="131"/>
  <c r="AP68" i="131"/>
  <c r="AO68" i="131"/>
  <c r="AN68" i="131"/>
  <c r="AL68" i="131"/>
  <c r="AK68" i="131"/>
  <c r="AJ68" i="131"/>
  <c r="AI68" i="131"/>
  <c r="AG68" i="131"/>
  <c r="AF68" i="131"/>
  <c r="AE68" i="131"/>
  <c r="AD68" i="131"/>
  <c r="AA68" i="131"/>
  <c r="Z68" i="131"/>
  <c r="Y68" i="131"/>
  <c r="AQ67" i="131"/>
  <c r="AP67" i="131"/>
  <c r="AO67" i="131"/>
  <c r="AN67" i="131"/>
  <c r="AL67" i="131"/>
  <c r="AK67" i="131"/>
  <c r="AJ67" i="131"/>
  <c r="AI67" i="131"/>
  <c r="AG67" i="131"/>
  <c r="AF67" i="131"/>
  <c r="AE67" i="131"/>
  <c r="AD67" i="131"/>
  <c r="AA67" i="131"/>
  <c r="Z67" i="131"/>
  <c r="Y67" i="131"/>
  <c r="AQ66" i="131"/>
  <c r="AP66" i="131"/>
  <c r="AO66" i="131"/>
  <c r="AN66" i="131"/>
  <c r="AL66" i="131"/>
  <c r="AK66" i="131"/>
  <c r="AJ66" i="131"/>
  <c r="AI66" i="131"/>
  <c r="AG66" i="131"/>
  <c r="AF66" i="131"/>
  <c r="AE66" i="131"/>
  <c r="AD66" i="131"/>
  <c r="AA66" i="131"/>
  <c r="Z66" i="131"/>
  <c r="Y66" i="131"/>
  <c r="AG65" i="131"/>
  <c r="AF65" i="131"/>
  <c r="AE65" i="131"/>
  <c r="AD65" i="131"/>
  <c r="AA65" i="131"/>
  <c r="Z65" i="131"/>
  <c r="Y65" i="131"/>
  <c r="W65" i="131"/>
  <c r="V65" i="131"/>
  <c r="U65" i="131"/>
  <c r="T65" i="131"/>
  <c r="R65" i="131"/>
  <c r="Q65" i="131"/>
  <c r="P65" i="131"/>
  <c r="O65" i="131"/>
  <c r="AI65" i="131" s="1"/>
  <c r="AA64" i="131"/>
  <c r="Z64" i="131"/>
  <c r="Y64" i="131"/>
  <c r="L64" i="131"/>
  <c r="K64" i="131"/>
  <c r="K79" i="131" s="1"/>
  <c r="J64" i="131"/>
  <c r="AD64" i="131" s="1"/>
  <c r="AG63" i="131"/>
  <c r="AF63" i="131"/>
  <c r="AE63" i="131"/>
  <c r="AD63" i="131"/>
  <c r="AA63" i="131"/>
  <c r="Z63" i="131"/>
  <c r="Y63" i="131"/>
  <c r="W63" i="131"/>
  <c r="V63" i="131"/>
  <c r="U63" i="131"/>
  <c r="U64" i="131" s="1"/>
  <c r="T63" i="131"/>
  <c r="R63" i="131"/>
  <c r="Q63" i="131"/>
  <c r="Q64" i="131" s="1"/>
  <c r="P63" i="131"/>
  <c r="O63" i="131"/>
  <c r="O64" i="131" s="1"/>
  <c r="AQ62" i="131"/>
  <c r="AP62" i="131"/>
  <c r="AO62" i="131"/>
  <c r="AN62" i="131"/>
  <c r="AL62" i="131"/>
  <c r="AK62" i="131"/>
  <c r="AJ62" i="131"/>
  <c r="AI62" i="131"/>
  <c r="AG62" i="131"/>
  <c r="AF62" i="131"/>
  <c r="AE62" i="131"/>
  <c r="AD62" i="131"/>
  <c r="AA62" i="131"/>
  <c r="Z62" i="131"/>
  <c r="Y62" i="131"/>
  <c r="AO60" i="131"/>
  <c r="AJ60" i="131"/>
  <c r="AE60" i="131"/>
  <c r="Z60" i="131"/>
  <c r="U60" i="131"/>
  <c r="P60" i="131"/>
  <c r="K60" i="131"/>
  <c r="F60" i="131"/>
  <c r="AQ56" i="131"/>
  <c r="AP56" i="131"/>
  <c r="AO56" i="131"/>
  <c r="AN56" i="131"/>
  <c r="AL56" i="131"/>
  <c r="AK56" i="131"/>
  <c r="AJ56" i="131"/>
  <c r="AI56" i="131"/>
  <c r="AG56" i="131"/>
  <c r="AF56" i="131"/>
  <c r="AE56" i="131"/>
  <c r="AD56" i="131"/>
  <c r="AA56" i="131"/>
  <c r="Z56" i="131"/>
  <c r="Y56" i="131"/>
  <c r="AQ55" i="131"/>
  <c r="AP55" i="131"/>
  <c r="AO55" i="131"/>
  <c r="AN55" i="131"/>
  <c r="AL55" i="131"/>
  <c r="AK55" i="131"/>
  <c r="AJ55" i="131"/>
  <c r="AI55" i="131"/>
  <c r="AG55" i="131"/>
  <c r="AF55" i="131"/>
  <c r="AE55" i="131"/>
  <c r="AD55" i="131"/>
  <c r="AA55" i="131"/>
  <c r="Z55" i="131"/>
  <c r="Y55" i="131"/>
  <c r="AA50" i="131"/>
  <c r="Z50" i="131"/>
  <c r="Y50" i="131"/>
  <c r="AQ49" i="131"/>
  <c r="AP49" i="131"/>
  <c r="AO49" i="131"/>
  <c r="AN49" i="131"/>
  <c r="AL49" i="131"/>
  <c r="AK49" i="131"/>
  <c r="AJ49" i="131"/>
  <c r="AI49" i="131"/>
  <c r="AG49" i="131"/>
  <c r="AF49" i="131"/>
  <c r="AE49" i="131"/>
  <c r="AD49" i="131"/>
  <c r="AA49" i="131"/>
  <c r="Z49" i="131"/>
  <c r="Y49" i="131"/>
  <c r="AQ48" i="131"/>
  <c r="AP48" i="131"/>
  <c r="AO48" i="131"/>
  <c r="AN48" i="131"/>
  <c r="AL48" i="131"/>
  <c r="AK48" i="131"/>
  <c r="AJ48" i="131"/>
  <c r="AI48" i="131"/>
  <c r="AG48" i="131"/>
  <c r="AF48" i="131"/>
  <c r="AE48" i="131"/>
  <c r="AD48" i="131"/>
  <c r="AA48" i="131"/>
  <c r="Z48" i="131"/>
  <c r="Y48" i="131"/>
  <c r="AA47" i="131"/>
  <c r="Z47" i="131"/>
  <c r="Y47" i="131"/>
  <c r="AQ46" i="131"/>
  <c r="AP46" i="131"/>
  <c r="AO46" i="131"/>
  <c r="AN46" i="131"/>
  <c r="AL46" i="131"/>
  <c r="AK46" i="131"/>
  <c r="AJ46" i="131"/>
  <c r="AI46" i="131"/>
  <c r="AG46" i="131"/>
  <c r="AF46" i="131"/>
  <c r="AE46" i="131"/>
  <c r="AD46" i="131"/>
  <c r="AA46" i="131"/>
  <c r="Z46" i="131"/>
  <c r="Y46" i="131"/>
  <c r="AQ45" i="131"/>
  <c r="AP45" i="131"/>
  <c r="AO45" i="131"/>
  <c r="AN45" i="131"/>
  <c r="AL45" i="131"/>
  <c r="AK45" i="131"/>
  <c r="AJ45" i="131"/>
  <c r="AI45" i="131"/>
  <c r="AG45" i="131"/>
  <c r="AF45" i="131"/>
  <c r="AE45" i="131"/>
  <c r="AD45" i="131"/>
  <c r="AA45" i="131"/>
  <c r="Z45" i="131"/>
  <c r="Y45" i="131"/>
  <c r="AA44" i="131"/>
  <c r="Z44" i="131"/>
  <c r="Y44" i="131"/>
  <c r="AQ43" i="131"/>
  <c r="AP43" i="131"/>
  <c r="AO43" i="131"/>
  <c r="AN43" i="131"/>
  <c r="AA43" i="131"/>
  <c r="Z43" i="131"/>
  <c r="Y43" i="131"/>
  <c r="R43" i="131"/>
  <c r="Q43" i="131"/>
  <c r="P43" i="131"/>
  <c r="O43" i="131"/>
  <c r="AI43" i="131" s="1"/>
  <c r="L43" i="131"/>
  <c r="L44" i="131" s="1"/>
  <c r="K43" i="131"/>
  <c r="K44" i="131" s="1"/>
  <c r="J43" i="131"/>
  <c r="AD43" i="131" s="1"/>
  <c r="AQ42" i="131"/>
  <c r="AP42" i="131"/>
  <c r="AO42" i="131"/>
  <c r="AN42" i="131"/>
  <c r="AL42" i="131"/>
  <c r="AK42" i="131"/>
  <c r="AJ42" i="131"/>
  <c r="AI42" i="131"/>
  <c r="AG42" i="131"/>
  <c r="AF42" i="131"/>
  <c r="AE42" i="131"/>
  <c r="AD42" i="131"/>
  <c r="AB42" i="131"/>
  <c r="AA42" i="131"/>
  <c r="Z42" i="131"/>
  <c r="Y42" i="131"/>
  <c r="AQ41" i="131"/>
  <c r="AP41" i="131"/>
  <c r="AO41" i="131"/>
  <c r="AN41" i="131"/>
  <c r="AL41" i="131"/>
  <c r="AK41" i="131"/>
  <c r="AJ41" i="131"/>
  <c r="AI41" i="131"/>
  <c r="AG41" i="131"/>
  <c r="AF41" i="131"/>
  <c r="AE41" i="131"/>
  <c r="AD41" i="131"/>
  <c r="AA41" i="131"/>
  <c r="Z41" i="131"/>
  <c r="Y41" i="131"/>
  <c r="AQ40" i="131"/>
  <c r="AP40" i="131"/>
  <c r="AO40" i="131"/>
  <c r="AN40" i="131"/>
  <c r="AL40" i="131"/>
  <c r="AK40" i="131"/>
  <c r="AJ40" i="131"/>
  <c r="AI40" i="131"/>
  <c r="AG40" i="131"/>
  <c r="AF40" i="131"/>
  <c r="AE40" i="131"/>
  <c r="AD40" i="131"/>
  <c r="AA40" i="131"/>
  <c r="Z40" i="131"/>
  <c r="Y40" i="131"/>
  <c r="AQ39" i="131"/>
  <c r="AP39" i="131"/>
  <c r="AO39" i="131"/>
  <c r="AN39" i="131"/>
  <c r="AL39" i="131"/>
  <c r="AK39" i="131"/>
  <c r="AJ39" i="131"/>
  <c r="AI39" i="131"/>
  <c r="AG39" i="131"/>
  <c r="AF39" i="131"/>
  <c r="AE39" i="131"/>
  <c r="AD39" i="131"/>
  <c r="AA39" i="131"/>
  <c r="Z39" i="131"/>
  <c r="Y39" i="131"/>
  <c r="AG38" i="131"/>
  <c r="AF38" i="131"/>
  <c r="AE38" i="131"/>
  <c r="AD38" i="131"/>
  <c r="AA38" i="131"/>
  <c r="Z38" i="131"/>
  <c r="Y38" i="131"/>
  <c r="W38" i="131"/>
  <c r="W44" i="131" s="1"/>
  <c r="W47" i="131" s="1"/>
  <c r="V38" i="131"/>
  <c r="V44" i="131" s="1"/>
  <c r="V47" i="131" s="1"/>
  <c r="V50" i="131" s="1"/>
  <c r="U38" i="131"/>
  <c r="T38" i="131"/>
  <c r="AN38" i="131" s="1"/>
  <c r="R38" i="131"/>
  <c r="Q38" i="131"/>
  <c r="P38" i="131"/>
  <c r="O38" i="131"/>
  <c r="AA37" i="131"/>
  <c r="Z37" i="131"/>
  <c r="Y37" i="131"/>
  <c r="L37" i="131"/>
  <c r="K37" i="131"/>
  <c r="K52" i="131" s="1"/>
  <c r="J37" i="131"/>
  <c r="AG36" i="131"/>
  <c r="AF36" i="131"/>
  <c r="AE36" i="131"/>
  <c r="AD36" i="131"/>
  <c r="AA36" i="131"/>
  <c r="Z36" i="131"/>
  <c r="Y36" i="131"/>
  <c r="W36" i="131"/>
  <c r="W37" i="131" s="1"/>
  <c r="V36" i="131"/>
  <c r="U36" i="131"/>
  <c r="U37" i="131" s="1"/>
  <c r="T36" i="131"/>
  <c r="T37" i="131" s="1"/>
  <c r="R36" i="131"/>
  <c r="R37" i="131" s="1"/>
  <c r="Q36" i="131"/>
  <c r="P36" i="131"/>
  <c r="O36" i="131"/>
  <c r="O37" i="131" s="1"/>
  <c r="AI37" i="131" s="1"/>
  <c r="AQ35" i="131"/>
  <c r="AP35" i="131"/>
  <c r="AO35" i="131"/>
  <c r="AN35" i="131"/>
  <c r="AL35" i="131"/>
  <c r="AK35" i="131"/>
  <c r="AJ35" i="131"/>
  <c r="AI35" i="131"/>
  <c r="AG35" i="131"/>
  <c r="AF35" i="131"/>
  <c r="AE35" i="131"/>
  <c r="AD35" i="131"/>
  <c r="AA35" i="131"/>
  <c r="Z35" i="131"/>
  <c r="Y35" i="131"/>
  <c r="AO33" i="131"/>
  <c r="AJ33" i="131"/>
  <c r="AE33" i="131"/>
  <c r="Z33" i="131"/>
  <c r="U33" i="131"/>
  <c r="P33" i="131"/>
  <c r="K33" i="131"/>
  <c r="F33" i="131"/>
  <c r="AQ27" i="131"/>
  <c r="AP27" i="131"/>
  <c r="AO27" i="131"/>
  <c r="AN27" i="131"/>
  <c r="AL27" i="131"/>
  <c r="AK27" i="131"/>
  <c r="AJ27" i="131"/>
  <c r="AI27" i="131"/>
  <c r="AQ26" i="131"/>
  <c r="AP26" i="131"/>
  <c r="AO26" i="131"/>
  <c r="AN26" i="131"/>
  <c r="AL26" i="131"/>
  <c r="AK26" i="131"/>
  <c r="AJ26" i="131"/>
  <c r="AI26" i="131"/>
  <c r="AQ23" i="131"/>
  <c r="AP23" i="131"/>
  <c r="AO23" i="131"/>
  <c r="AN23" i="131"/>
  <c r="AL23" i="131"/>
  <c r="AK23" i="131"/>
  <c r="AJ23" i="131"/>
  <c r="AI23" i="131"/>
  <c r="AQ22" i="131"/>
  <c r="AP22" i="131"/>
  <c r="AO22" i="131"/>
  <c r="AN22" i="131"/>
  <c r="AL22" i="131"/>
  <c r="AK22" i="131"/>
  <c r="AJ22" i="131"/>
  <c r="AI22" i="131"/>
  <c r="AQ20" i="131"/>
  <c r="AP20" i="131"/>
  <c r="AO20" i="131"/>
  <c r="AN20" i="131"/>
  <c r="AL20" i="131"/>
  <c r="AK20" i="131"/>
  <c r="AJ20" i="131"/>
  <c r="AI20" i="131"/>
  <c r="AQ19" i="131"/>
  <c r="AP19" i="131"/>
  <c r="AO19" i="131"/>
  <c r="AN19" i="131"/>
  <c r="AL19" i="131"/>
  <c r="AK19" i="131"/>
  <c r="AJ19" i="131"/>
  <c r="AI19" i="131"/>
  <c r="W17" i="131"/>
  <c r="W18" i="131" s="1"/>
  <c r="V17" i="131"/>
  <c r="U17" i="131"/>
  <c r="T17" i="131"/>
  <c r="T18" i="131" s="1"/>
  <c r="R17" i="131"/>
  <c r="R18" i="131" s="1"/>
  <c r="R21" i="131" s="1"/>
  <c r="R24" i="131" s="1"/>
  <c r="Q17" i="131"/>
  <c r="P17" i="131"/>
  <c r="P18" i="131" s="1"/>
  <c r="O17" i="131"/>
  <c r="AQ16" i="131"/>
  <c r="AP16" i="131"/>
  <c r="AO16" i="131"/>
  <c r="AN16" i="131"/>
  <c r="AL16" i="131"/>
  <c r="AK16" i="131"/>
  <c r="AJ16" i="131"/>
  <c r="AI16" i="131"/>
  <c r="AQ15" i="131"/>
  <c r="AP15" i="131"/>
  <c r="AO15" i="131"/>
  <c r="AN15" i="131"/>
  <c r="AL15" i="131"/>
  <c r="AK15" i="131"/>
  <c r="AJ15" i="131"/>
  <c r="AI15" i="131"/>
  <c r="AQ14" i="131"/>
  <c r="AP14" i="131"/>
  <c r="AO14" i="131"/>
  <c r="AN14" i="131"/>
  <c r="AL14" i="131"/>
  <c r="AK14" i="131"/>
  <c r="AJ14" i="131"/>
  <c r="AI14" i="131"/>
  <c r="AQ13" i="131"/>
  <c r="AP13" i="131"/>
  <c r="AO13" i="131"/>
  <c r="AN13" i="131"/>
  <c r="AL13" i="131"/>
  <c r="AK13" i="131"/>
  <c r="AJ13" i="131"/>
  <c r="AI13" i="131"/>
  <c r="AQ12" i="131"/>
  <c r="AP12" i="131"/>
  <c r="AO12" i="131"/>
  <c r="AN12" i="131"/>
  <c r="AL12" i="131"/>
  <c r="AK12" i="131"/>
  <c r="AJ12" i="131"/>
  <c r="AI12" i="131"/>
  <c r="W11" i="131"/>
  <c r="V11" i="131"/>
  <c r="U11" i="131"/>
  <c r="T11" i="131"/>
  <c r="AN11" i="131" s="1"/>
  <c r="R11" i="131"/>
  <c r="Q11" i="131"/>
  <c r="P11" i="131"/>
  <c r="O11" i="131"/>
  <c r="AI11" i="131" s="1"/>
  <c r="AQ10" i="131"/>
  <c r="AP10" i="131"/>
  <c r="AO10" i="131"/>
  <c r="AN10" i="131"/>
  <c r="AL10" i="131"/>
  <c r="AK10" i="131"/>
  <c r="AJ10" i="131"/>
  <c r="AI10" i="131"/>
  <c r="AQ9" i="131"/>
  <c r="AP9" i="131"/>
  <c r="AO9" i="131"/>
  <c r="AN9" i="131"/>
  <c r="AL9" i="131"/>
  <c r="AK9" i="131"/>
  <c r="AJ9" i="131"/>
  <c r="AI9" i="131"/>
  <c r="AG9" i="131"/>
  <c r="AF9" i="131"/>
  <c r="AE9" i="131"/>
  <c r="AD9" i="131"/>
  <c r="AA9" i="131"/>
  <c r="Z9" i="131"/>
  <c r="Y9" i="131"/>
  <c r="J102" i="131" l="1"/>
  <c r="J105" i="131" s="1"/>
  <c r="AD105" i="131" s="1"/>
  <c r="Y26" i="131"/>
  <c r="R44" i="131"/>
  <c r="R47" i="131" s="1"/>
  <c r="R50" i="131" s="1"/>
  <c r="AG26" i="131"/>
  <c r="O105" i="131"/>
  <c r="AI105" i="131" s="1"/>
  <c r="AF26" i="131"/>
  <c r="AP11" i="131"/>
  <c r="Z79" i="131"/>
  <c r="AI98" i="131"/>
  <c r="AI99" i="131"/>
  <c r="P44" i="131"/>
  <c r="P47" i="131" s="1"/>
  <c r="T52" i="131"/>
  <c r="T44" i="131"/>
  <c r="T53" i="131" s="1"/>
  <c r="Y79" i="131"/>
  <c r="AQ38" i="131"/>
  <c r="Y52" i="131"/>
  <c r="AP38" i="131"/>
  <c r="Q44" i="131"/>
  <c r="Q47" i="131" s="1"/>
  <c r="Q50" i="131" s="1"/>
  <c r="AQ47" i="131"/>
  <c r="AQ65" i="131"/>
  <c r="AI63" i="131"/>
  <c r="AK38" i="131"/>
  <c r="U44" i="131"/>
  <c r="AP44" i="131" s="1"/>
  <c r="AL17" i="131"/>
  <c r="AD79" i="131"/>
  <c r="AL11" i="131"/>
  <c r="AL65" i="131"/>
  <c r="AO70" i="131"/>
  <c r="AO36" i="131"/>
  <c r="T71" i="131"/>
  <c r="T74" i="131" s="1"/>
  <c r="Q71" i="131"/>
  <c r="Q74" i="131" s="1"/>
  <c r="Q77" i="131" s="1"/>
  <c r="AP70" i="131"/>
  <c r="AJ70" i="131"/>
  <c r="AP17" i="131"/>
  <c r="Z54" i="131"/>
  <c r="AA81" i="131"/>
  <c r="O71" i="131"/>
  <c r="AO38" i="131"/>
  <c r="Z53" i="131"/>
  <c r="Y54" i="131"/>
  <c r="P71" i="131"/>
  <c r="U79" i="131"/>
  <c r="AQ63" i="131"/>
  <c r="AL70" i="131"/>
  <c r="AJ92" i="131"/>
  <c r="AQ44" i="131"/>
  <c r="V71" i="131"/>
  <c r="V74" i="131" s="1"/>
  <c r="AI36" i="131"/>
  <c r="AA53" i="131"/>
  <c r="AP65" i="131"/>
  <c r="AL63" i="131"/>
  <c r="Z80" i="131"/>
  <c r="AQ70" i="131"/>
  <c r="R71" i="131"/>
  <c r="R74" i="131" s="1"/>
  <c r="U52" i="131"/>
  <c r="AL36" i="131"/>
  <c r="AK36" i="131"/>
  <c r="AJ63" i="131"/>
  <c r="R52" i="131"/>
  <c r="Q79" i="131"/>
  <c r="K47" i="131"/>
  <c r="K54" i="131" s="1"/>
  <c r="K53" i="131"/>
  <c r="R64" i="131"/>
  <c r="R79" i="131" s="1"/>
  <c r="AP63" i="131"/>
  <c r="AJ82" i="131"/>
  <c r="AE98" i="131"/>
  <c r="AJ98" i="131"/>
  <c r="K99" i="131"/>
  <c r="AQ11" i="131"/>
  <c r="AJ36" i="131"/>
  <c r="Q37" i="131"/>
  <c r="Y53" i="131"/>
  <c r="AK63" i="131"/>
  <c r="P64" i="131"/>
  <c r="AK65" i="131"/>
  <c r="Y81" i="131"/>
  <c r="L99" i="131"/>
  <c r="AK98" i="131"/>
  <c r="W64" i="131"/>
  <c r="W79" i="131" s="1"/>
  <c r="AK70" i="131"/>
  <c r="K71" i="131"/>
  <c r="K80" i="131" s="1"/>
  <c r="Z81" i="131"/>
  <c r="AK11" i="131"/>
  <c r="AO11" i="131"/>
  <c r="AQ17" i="131"/>
  <c r="V18" i="131"/>
  <c r="V21" i="131" s="1"/>
  <c r="V24" i="131" s="1"/>
  <c r="AL43" i="131"/>
  <c r="AJ65" i="131"/>
  <c r="Y80" i="131"/>
  <c r="AF98" i="131"/>
  <c r="AI17" i="131"/>
  <c r="O18" i="131"/>
  <c r="AJ18" i="131" s="1"/>
  <c r="AF92" i="131"/>
  <c r="AE92" i="131"/>
  <c r="AN37" i="131"/>
  <c r="AN52" i="131" s="1"/>
  <c r="AJ43" i="131"/>
  <c r="AK43" i="131"/>
  <c r="AF64" i="131"/>
  <c r="AF79" i="131" s="1"/>
  <c r="AG64" i="131"/>
  <c r="AG79" i="131" s="1"/>
  <c r="L79" i="131"/>
  <c r="W50" i="131"/>
  <c r="AQ50" i="131" s="1"/>
  <c r="W54" i="131"/>
  <c r="L52" i="131"/>
  <c r="AG37" i="131"/>
  <c r="AG52" i="131" s="1"/>
  <c r="AF37" i="131"/>
  <c r="AF52" i="131" s="1"/>
  <c r="AK92" i="131"/>
  <c r="AJ17" i="131"/>
  <c r="AO37" i="131"/>
  <c r="V37" i="131"/>
  <c r="AQ37" i="131" s="1"/>
  <c r="AP36" i="131"/>
  <c r="AG44" i="131"/>
  <c r="L47" i="131"/>
  <c r="L53" i="131"/>
  <c r="AF44" i="131"/>
  <c r="AA54" i="131"/>
  <c r="O79" i="131"/>
  <c r="AI64" i="131"/>
  <c r="AN65" i="131"/>
  <c r="R99" i="131"/>
  <c r="AL98" i="131"/>
  <c r="T21" i="131"/>
  <c r="AN18" i="131"/>
  <c r="W52" i="131"/>
  <c r="O52" i="131"/>
  <c r="AJ38" i="131"/>
  <c r="AG43" i="131"/>
  <c r="AF43" i="131"/>
  <c r="AE26" i="131"/>
  <c r="AD26" i="131"/>
  <c r="AE64" i="131"/>
  <c r="AE79" i="131" s="1"/>
  <c r="AN36" i="131"/>
  <c r="AI38" i="131"/>
  <c r="AI52" i="131" s="1"/>
  <c r="O44" i="131"/>
  <c r="AN17" i="131"/>
  <c r="AK17" i="131"/>
  <c r="Q18" i="131"/>
  <c r="U18" i="131"/>
  <c r="AO17" i="131"/>
  <c r="P21" i="131"/>
  <c r="P37" i="131"/>
  <c r="Z52" i="131"/>
  <c r="J44" i="131"/>
  <c r="AE44" i="131" s="1"/>
  <c r="AE43" i="131"/>
  <c r="V64" i="131"/>
  <c r="V79" i="131" s="1"/>
  <c r="AL92" i="131"/>
  <c r="AD98" i="131"/>
  <c r="P99" i="131"/>
  <c r="AJ11" i="131"/>
  <c r="W21" i="131"/>
  <c r="J52" i="131"/>
  <c r="AD37" i="131"/>
  <c r="AD52" i="131" s="1"/>
  <c r="AO65" i="131"/>
  <c r="U71" i="131"/>
  <c r="AL38" i="131"/>
  <c r="J79" i="131"/>
  <c r="AE37" i="131"/>
  <c r="AE52" i="131" s="1"/>
  <c r="AQ36" i="131"/>
  <c r="W53" i="131"/>
  <c r="AA52" i="131"/>
  <c r="T64" i="131"/>
  <c r="AO63" i="131"/>
  <c r="AN63" i="131"/>
  <c r="W71" i="131"/>
  <c r="AA79" i="131"/>
  <c r="AF70" i="131"/>
  <c r="L71" i="131"/>
  <c r="AD71" i="131"/>
  <c r="AD80" i="131" s="1"/>
  <c r="J74" i="131"/>
  <c r="J80" i="131"/>
  <c r="F8" i="129"/>
  <c r="F10" i="129"/>
  <c r="F11" i="129"/>
  <c r="F14" i="129"/>
  <c r="F7" i="129"/>
  <c r="F13" i="129"/>
  <c r="F12" i="129"/>
  <c r="AE22" i="131"/>
  <c r="AE27" i="131"/>
  <c r="AE19" i="131"/>
  <c r="Z22" i="131"/>
  <c r="AG22" i="131"/>
  <c r="Z15" i="131"/>
  <c r="Y23" i="131"/>
  <c r="AA10" i="131"/>
  <c r="AG14" i="131"/>
  <c r="AE14" i="131"/>
  <c r="AE15" i="131"/>
  <c r="AE20" i="131"/>
  <c r="Z10" i="131"/>
  <c r="Y10" i="131"/>
  <c r="E11" i="131"/>
  <c r="J11" i="131"/>
  <c r="AD11" i="131" s="1"/>
  <c r="AD10" i="131"/>
  <c r="AF23" i="131"/>
  <c r="AG23" i="131"/>
  <c r="AG12" i="131"/>
  <c r="AG16" i="131"/>
  <c r="AG20" i="131"/>
  <c r="AF27" i="131"/>
  <c r="AG15" i="131"/>
  <c r="AF16" i="131"/>
  <c r="Z14" i="131"/>
  <c r="Y14" i="131"/>
  <c r="AF13" i="131"/>
  <c r="Y16" i="131"/>
  <c r="AA14" i="131"/>
  <c r="G17" i="131"/>
  <c r="AA17" i="131" s="1"/>
  <c r="AG13" i="131"/>
  <c r="AG19" i="131"/>
  <c r="AF19" i="131"/>
  <c r="AE23" i="131"/>
  <c r="J17" i="131"/>
  <c r="AD17" i="131" s="1"/>
  <c r="Y27" i="131"/>
  <c r="AE12" i="131"/>
  <c r="AF14" i="131"/>
  <c r="L17" i="131"/>
  <c r="AG17" i="131" s="1"/>
  <c r="AF15" i="131"/>
  <c r="AF22" i="131"/>
  <c r="AD12" i="131"/>
  <c r="Z13" i="131"/>
  <c r="Y13" i="131"/>
  <c r="E17" i="131"/>
  <c r="Y20" i="131"/>
  <c r="Z20" i="131"/>
  <c r="AG10" i="131"/>
  <c r="M11" i="131"/>
  <c r="AG11" i="131" s="1"/>
  <c r="Y19" i="131"/>
  <c r="Z19" i="131"/>
  <c r="AG27" i="131"/>
  <c r="AF10" i="131"/>
  <c r="AE10" i="131"/>
  <c r="K11" i="131"/>
  <c r="Z12" i="131"/>
  <c r="Y12" i="131"/>
  <c r="AF12" i="131"/>
  <c r="M18" i="131"/>
  <c r="K17" i="131"/>
  <c r="AE13" i="131"/>
  <c r="AE16" i="131"/>
  <c r="AD16" i="131"/>
  <c r="AF20" i="131"/>
  <c r="F18" i="129"/>
  <c r="F15" i="129"/>
  <c r="F17" i="129"/>
  <c r="AA80" i="131"/>
  <c r="AJ71" i="131" l="1"/>
  <c r="AD102" i="131"/>
  <c r="J106" i="131"/>
  <c r="AL47" i="131"/>
  <c r="AL64" i="131"/>
  <c r="AL79" i="131" s="1"/>
  <c r="R53" i="131"/>
  <c r="R54" i="131"/>
  <c r="AL50" i="131"/>
  <c r="AN71" i="131"/>
  <c r="AL44" i="131"/>
  <c r="AP71" i="131"/>
  <c r="K74" i="131"/>
  <c r="K81" i="131" s="1"/>
  <c r="AK44" i="131"/>
  <c r="P74" i="131"/>
  <c r="P77" i="131" s="1"/>
  <c r="AK77" i="131" s="1"/>
  <c r="AO44" i="131"/>
  <c r="AO53" i="131" s="1"/>
  <c r="Q80" i="131"/>
  <c r="AQ54" i="131"/>
  <c r="U53" i="131"/>
  <c r="AL71" i="131"/>
  <c r="T47" i="131"/>
  <c r="AN44" i="131"/>
  <c r="AN53" i="131" s="1"/>
  <c r="AF53" i="131"/>
  <c r="R80" i="131"/>
  <c r="P80" i="131"/>
  <c r="U47" i="131"/>
  <c r="U50" i="131" s="1"/>
  <c r="AQ18" i="131"/>
  <c r="AE53" i="131"/>
  <c r="O74" i="131"/>
  <c r="AI71" i="131"/>
  <c r="AI80" i="131" s="1"/>
  <c r="AK71" i="131"/>
  <c r="V53" i="131"/>
  <c r="O80" i="131"/>
  <c r="AF99" i="131"/>
  <c r="Q81" i="131"/>
  <c r="AP18" i="131"/>
  <c r="K50" i="131"/>
  <c r="AK37" i="131"/>
  <c r="AK52" i="131" s="1"/>
  <c r="R81" i="131"/>
  <c r="AL74" i="131"/>
  <c r="R77" i="131"/>
  <c r="AL77" i="131" s="1"/>
  <c r="AE71" i="131"/>
  <c r="AE80" i="131" s="1"/>
  <c r="AO52" i="131"/>
  <c r="K102" i="131"/>
  <c r="AE99" i="131"/>
  <c r="Q52" i="131"/>
  <c r="Q53" i="131"/>
  <c r="Q54" i="131"/>
  <c r="P79" i="131"/>
  <c r="AJ64" i="131"/>
  <c r="AK64" i="131"/>
  <c r="AQ52" i="131"/>
  <c r="AG99" i="131"/>
  <c r="L102" i="131"/>
  <c r="AL37" i="131"/>
  <c r="L74" i="131"/>
  <c r="AF71" i="131"/>
  <c r="AF80" i="131" s="1"/>
  <c r="L80" i="131"/>
  <c r="AG71" i="131"/>
  <c r="AG80" i="131" s="1"/>
  <c r="AN64" i="131"/>
  <c r="AO64" i="131"/>
  <c r="AO79" i="131" s="1"/>
  <c r="AK18" i="131"/>
  <c r="Q21" i="131"/>
  <c r="R102" i="131"/>
  <c r="AL99" i="131"/>
  <c r="AJ99" i="131"/>
  <c r="P102" i="131"/>
  <c r="J81" i="131"/>
  <c r="AD74" i="131"/>
  <c r="AD81" i="131" s="1"/>
  <c r="J77" i="131"/>
  <c r="AD77" i="131" s="1"/>
  <c r="AQ21" i="131"/>
  <c r="W24" i="131"/>
  <c r="AQ24" i="131" s="1"/>
  <c r="AK99" i="131"/>
  <c r="AL18" i="131"/>
  <c r="AN21" i="131"/>
  <c r="T24" i="131"/>
  <c r="AN24" i="131" s="1"/>
  <c r="AF47" i="131"/>
  <c r="AF54" i="131" s="1"/>
  <c r="L50" i="131"/>
  <c r="L54" i="131"/>
  <c r="AG47" i="131"/>
  <c r="AG54" i="131" s="1"/>
  <c r="AP37" i="131"/>
  <c r="V52" i="131"/>
  <c r="V54" i="131"/>
  <c r="AQ53" i="131"/>
  <c r="AN74" i="131"/>
  <c r="T81" i="131"/>
  <c r="T77" i="131"/>
  <c r="AN77" i="131" s="1"/>
  <c r="AQ71" i="131"/>
  <c r="W74" i="131"/>
  <c r="W80" i="131"/>
  <c r="P24" i="131"/>
  <c r="AI44" i="131"/>
  <c r="AI53" i="131" s="1"/>
  <c r="O47" i="131"/>
  <c r="AJ47" i="131" s="1"/>
  <c r="AJ44" i="131"/>
  <c r="O53" i="131"/>
  <c r="P50" i="131"/>
  <c r="P54" i="131"/>
  <c r="AK47" i="131"/>
  <c r="AI79" i="131"/>
  <c r="O21" i="131"/>
  <c r="AI18" i="131"/>
  <c r="J53" i="131"/>
  <c r="AD44" i="131"/>
  <c r="AD53" i="131" s="1"/>
  <c r="J47" i="131"/>
  <c r="AO71" i="131"/>
  <c r="U80" i="131"/>
  <c r="U74" i="131"/>
  <c r="AP74" i="131" s="1"/>
  <c r="AQ64" i="131"/>
  <c r="AQ79" i="131" s="1"/>
  <c r="AP64" i="131"/>
  <c r="AP79" i="131" s="1"/>
  <c r="V80" i="131"/>
  <c r="AJ37" i="131"/>
  <c r="AJ52" i="131" s="1"/>
  <c r="P52" i="131"/>
  <c r="U21" i="131"/>
  <c r="AO18" i="131"/>
  <c r="T79" i="131"/>
  <c r="AG53" i="131"/>
  <c r="P53" i="131"/>
  <c r="V77" i="131"/>
  <c r="V81" i="131"/>
  <c r="T80" i="131"/>
  <c r="AE17" i="131"/>
  <c r="G18" i="131"/>
  <c r="G21" i="131" s="1"/>
  <c r="K18" i="131"/>
  <c r="K21" i="131" s="1"/>
  <c r="J18" i="131"/>
  <c r="J21" i="131" s="1"/>
  <c r="Y11" i="131"/>
  <c r="Z11" i="131"/>
  <c r="M21" i="131"/>
  <c r="AE11" i="131"/>
  <c r="AF11" i="131"/>
  <c r="Y17" i="131"/>
  <c r="Z17" i="131"/>
  <c r="E18" i="131"/>
  <c r="AF17" i="131"/>
  <c r="L18" i="131"/>
  <c r="AG18" i="131" s="1"/>
  <c r="F19" i="129"/>
  <c r="C89" i="131"/>
  <c r="C34" i="131"/>
  <c r="C4" i="131"/>
  <c r="C61" i="131"/>
  <c r="C8" i="131"/>
  <c r="AL81" i="131" l="1"/>
  <c r="AL80" i="131"/>
  <c r="AN80" i="131"/>
  <c r="AL53" i="131"/>
  <c r="AE74" i="131"/>
  <c r="AE81" i="131" s="1"/>
  <c r="K77" i="131"/>
  <c r="AE77" i="131" s="1"/>
  <c r="AP47" i="131"/>
  <c r="AP54" i="131" s="1"/>
  <c r="AJ74" i="131"/>
  <c r="AJ81" i="131" s="1"/>
  <c r="AK74" i="131"/>
  <c r="AK81" i="131" s="1"/>
  <c r="P81" i="131"/>
  <c r="U54" i="131"/>
  <c r="AK80" i="131"/>
  <c r="AO47" i="131"/>
  <c r="AO54" i="131" s="1"/>
  <c r="T50" i="131"/>
  <c r="AN50" i="131" s="1"/>
  <c r="AN47" i="131"/>
  <c r="AN54" i="131" s="1"/>
  <c r="T54" i="131"/>
  <c r="AN81" i="131"/>
  <c r="AK53" i="131"/>
  <c r="AK54" i="131"/>
  <c r="AN79" i="131"/>
  <c r="AL54" i="131"/>
  <c r="AQ80" i="131"/>
  <c r="AI74" i="131"/>
  <c r="AI81" i="131" s="1"/>
  <c r="O77" i="131"/>
  <c r="O81" i="131"/>
  <c r="AL52" i="131"/>
  <c r="AJ80" i="131"/>
  <c r="AJ79" i="131"/>
  <c r="K106" i="131"/>
  <c r="AE102" i="131"/>
  <c r="K105" i="131"/>
  <c r="AE105" i="131" s="1"/>
  <c r="AJ54" i="131"/>
  <c r="AF102" i="131"/>
  <c r="L105" i="131"/>
  <c r="AG102" i="131"/>
  <c r="L106" i="131"/>
  <c r="AK79" i="131"/>
  <c r="J50" i="131"/>
  <c r="J54" i="131"/>
  <c r="AE47" i="131"/>
  <c r="AE54" i="131" s="1"/>
  <c r="AD47" i="131"/>
  <c r="AD54" i="131" s="1"/>
  <c r="O24" i="131"/>
  <c r="AI24" i="131" s="1"/>
  <c r="AI21" i="131"/>
  <c r="AJ21" i="131"/>
  <c r="AQ74" i="131"/>
  <c r="AQ81" i="131" s="1"/>
  <c r="W81" i="131"/>
  <c r="W77" i="131"/>
  <c r="AQ77" i="131" s="1"/>
  <c r="AP52" i="131"/>
  <c r="AP53" i="131"/>
  <c r="R105" i="131"/>
  <c r="AL105" i="131" s="1"/>
  <c r="AL102" i="131"/>
  <c r="AF74" i="131"/>
  <c r="AF81" i="131" s="1"/>
  <c r="L77" i="131"/>
  <c r="L81" i="131"/>
  <c r="AG74" i="131"/>
  <c r="AG81" i="131" s="1"/>
  <c r="O50" i="131"/>
  <c r="AI50" i="131" s="1"/>
  <c r="AI47" i="131"/>
  <c r="AI54" i="131" s="1"/>
  <c r="O54" i="131"/>
  <c r="P105" i="131"/>
  <c r="AJ102" i="131"/>
  <c r="AK102" i="131"/>
  <c r="U24" i="131"/>
  <c r="AO21" i="131"/>
  <c r="AP21" i="131"/>
  <c r="AO80" i="131"/>
  <c r="AP50" i="131"/>
  <c r="AF50" i="131"/>
  <c r="AG50" i="131"/>
  <c r="AP81" i="131"/>
  <c r="AO74" i="131"/>
  <c r="AO81" i="131" s="1"/>
  <c r="U81" i="131"/>
  <c r="U77" i="131"/>
  <c r="AO77" i="131" s="1"/>
  <c r="AK50" i="131"/>
  <c r="AJ53" i="131"/>
  <c r="Q24" i="131"/>
  <c r="AL21" i="131"/>
  <c r="AK21" i="131"/>
  <c r="AP80" i="131"/>
  <c r="AA18" i="131"/>
  <c r="AE18" i="131"/>
  <c r="AD18" i="131"/>
  <c r="G24" i="131"/>
  <c r="AA24" i="131" s="1"/>
  <c r="AA21" i="131"/>
  <c r="Z18" i="131"/>
  <c r="E21" i="131"/>
  <c r="Y18" i="131"/>
  <c r="AE21" i="131"/>
  <c r="K24" i="131"/>
  <c r="AF18" i="131"/>
  <c r="L21" i="131"/>
  <c r="AG21" i="131" s="1"/>
  <c r="AD21" i="131"/>
  <c r="J24" i="131"/>
  <c r="AD24" i="131" s="1"/>
  <c r="M24" i="131"/>
  <c r="H103" i="131"/>
  <c r="AO50" i="131" l="1"/>
  <c r="AI77" i="131"/>
  <c r="AJ77" i="131"/>
  <c r="AJ24" i="131"/>
  <c r="AG105" i="131"/>
  <c r="AF105" i="131"/>
  <c r="AK24" i="131"/>
  <c r="AL24" i="131"/>
  <c r="AJ50" i="131"/>
  <c r="AO24" i="131"/>
  <c r="AP24" i="131"/>
  <c r="AD50" i="131"/>
  <c r="AE50" i="131"/>
  <c r="AJ105" i="131"/>
  <c r="AK105" i="131"/>
  <c r="AF77" i="131"/>
  <c r="AG77" i="131"/>
  <c r="AP77" i="131"/>
  <c r="Z21" i="131"/>
  <c r="E24" i="131"/>
  <c r="Y21" i="131"/>
  <c r="L24" i="131"/>
  <c r="AF24" i="131" s="1"/>
  <c r="AF21" i="131"/>
  <c r="AE24" i="131"/>
  <c r="AG24" i="131" l="1"/>
  <c r="Y24" i="131"/>
  <c r="Z24" i="131"/>
  <c r="D3" i="129" l="1"/>
  <c r="F16" i="129"/>
  <c r="F22" i="129" l="1"/>
  <c r="F23" i="129" l="1"/>
  <c r="F20" i="129" l="1"/>
  <c r="E3" i="129" l="1"/>
  <c r="G22" i="129" l="1"/>
  <c r="H22" i="129" l="1"/>
  <c r="I22" i="129" s="1"/>
  <c r="G23" i="129"/>
  <c r="H23" i="129" s="1"/>
  <c r="C26" i="131" l="1"/>
  <c r="H26" i="131" s="1"/>
  <c r="AB26" i="131" s="1"/>
  <c r="D40" i="129" l="1"/>
  <c r="F9" i="129" l="1"/>
  <c r="F21" i="129" s="1"/>
  <c r="H62" i="131" l="1"/>
  <c r="H35" i="131" l="1"/>
  <c r="H9" i="131"/>
  <c r="H90" i="131"/>
  <c r="H93" i="131"/>
  <c r="H38" i="131"/>
  <c r="AB38" i="131" s="1"/>
  <c r="AB62" i="131"/>
  <c r="H12" i="131" l="1"/>
  <c r="H65" i="131"/>
  <c r="AB90" i="131"/>
  <c r="AB93" i="131"/>
  <c r="AB9" i="131"/>
  <c r="AB35" i="131"/>
  <c r="H36" i="131" l="1"/>
  <c r="AB12" i="131"/>
  <c r="AB65" i="131"/>
  <c r="AB36" i="131" l="1"/>
  <c r="H37" i="131"/>
  <c r="AB37" i="131" l="1"/>
  <c r="AB52" i="131" s="1"/>
  <c r="H52" i="131"/>
  <c r="H63" i="131" l="1"/>
  <c r="H64" i="131" l="1"/>
  <c r="AB63" i="131"/>
  <c r="H10" i="131" l="1"/>
  <c r="H79" i="131"/>
  <c r="AB64" i="131"/>
  <c r="AB10" i="131" l="1"/>
  <c r="H11" i="131"/>
  <c r="AB11" i="131" s="1"/>
  <c r="AB79" i="131"/>
  <c r="H91" i="131" l="1"/>
  <c r="G20" i="129"/>
  <c r="H100" i="131" l="1"/>
  <c r="AB100" i="131" s="1"/>
  <c r="H92" i="131"/>
  <c r="AB91" i="131"/>
  <c r="H20" i="129"/>
  <c r="I20" i="129" s="1"/>
  <c r="AB92" i="131" l="1"/>
  <c r="G16" i="129" l="1"/>
  <c r="H16" i="129" s="1"/>
  <c r="I16" i="129" s="1"/>
  <c r="G8" i="129"/>
  <c r="H8" i="129" s="1"/>
  <c r="I8" i="129" s="1"/>
  <c r="G12" i="129"/>
  <c r="H12" i="129" s="1"/>
  <c r="I12" i="129" s="1"/>
  <c r="G13" i="129"/>
  <c r="H13" i="129" s="1"/>
  <c r="I13" i="129" s="1"/>
  <c r="G17" i="129"/>
  <c r="H17" i="129" s="1"/>
  <c r="I17" i="129" s="1"/>
  <c r="G14" i="129"/>
  <c r="H14" i="129" s="1"/>
  <c r="I14" i="129" s="1"/>
  <c r="G9" i="129"/>
  <c r="H9" i="129" s="1"/>
  <c r="I9" i="129" s="1"/>
  <c r="G10" i="129"/>
  <c r="H10" i="129" s="1"/>
  <c r="I10" i="129" s="1"/>
  <c r="G18" i="129"/>
  <c r="H18" i="129" s="1"/>
  <c r="I18" i="129" s="1"/>
  <c r="G7" i="129"/>
  <c r="H7" i="129" s="1"/>
  <c r="I7" i="129" s="1"/>
  <c r="G11" i="129"/>
  <c r="H11" i="129" s="1"/>
  <c r="I11" i="129" s="1"/>
  <c r="G15" i="129"/>
  <c r="H15" i="129" s="1"/>
  <c r="I15" i="129" s="1"/>
  <c r="G19" i="129" l="1"/>
  <c r="H19" i="129" l="1"/>
  <c r="I19" i="129" s="1"/>
  <c r="G21" i="129"/>
  <c r="H21" i="129" s="1"/>
  <c r="I21" i="129" s="1"/>
  <c r="C65" i="131" l="1"/>
  <c r="C91" i="131"/>
  <c r="C67" i="131"/>
  <c r="H67" i="131" s="1"/>
  <c r="AB67" i="131" s="1"/>
  <c r="C90" i="131"/>
  <c r="C15" i="131"/>
  <c r="H15" i="131" s="1"/>
  <c r="AB15" i="131" s="1"/>
  <c r="C55" i="131"/>
  <c r="H55" i="131" s="1"/>
  <c r="AB55" i="131" s="1"/>
  <c r="C42" i="131"/>
  <c r="C40" i="131"/>
  <c r="H40" i="131" s="1"/>
  <c r="AB40" i="131" s="1"/>
  <c r="C41" i="131"/>
  <c r="H41" i="131" s="1"/>
  <c r="AB41" i="131" s="1"/>
  <c r="C17" i="131"/>
  <c r="C97" i="131"/>
  <c r="C69" i="131"/>
  <c r="C49" i="131"/>
  <c r="H49" i="131" s="1"/>
  <c r="AB49" i="131" s="1"/>
  <c r="C100" i="131"/>
  <c r="C14" i="131"/>
  <c r="H14" i="131" s="1"/>
  <c r="AB14" i="131" s="1"/>
  <c r="C96" i="131"/>
  <c r="H96" i="131" s="1"/>
  <c r="AB96" i="131" s="1"/>
  <c r="C46" i="131"/>
  <c r="H46" i="131" s="1"/>
  <c r="AB46" i="131" s="1"/>
  <c r="C39" i="131"/>
  <c r="H39" i="131" s="1"/>
  <c r="AB39" i="131" s="1"/>
  <c r="C73" i="131"/>
  <c r="H73" i="131" s="1"/>
  <c r="AB73" i="131" s="1"/>
  <c r="C108" i="131"/>
  <c r="H108" i="131" s="1"/>
  <c r="AB108" i="131" s="1"/>
  <c r="C82" i="131"/>
  <c r="H82" i="131" s="1"/>
  <c r="AB82" i="131" s="1"/>
  <c r="C10" i="131"/>
  <c r="D28" i="129"/>
  <c r="C23" i="131"/>
  <c r="H23" i="131" s="1"/>
  <c r="AB23" i="131" s="1"/>
  <c r="C62" i="131"/>
  <c r="C95" i="131"/>
  <c r="H95" i="131" s="1"/>
  <c r="AB95" i="131" s="1"/>
  <c r="C63" i="131"/>
  <c r="C27" i="131"/>
  <c r="H27" i="131" s="1"/>
  <c r="AB27" i="131" s="1"/>
  <c r="C12" i="131"/>
  <c r="C45" i="131"/>
  <c r="H45" i="131" s="1"/>
  <c r="AB45" i="131" s="1"/>
  <c r="C13" i="131"/>
  <c r="H13" i="131" s="1"/>
  <c r="AB13" i="131" s="1"/>
  <c r="C19" i="131"/>
  <c r="H19" i="131" s="1"/>
  <c r="AB19" i="131" s="1"/>
  <c r="C93" i="131"/>
  <c r="C101" i="131"/>
  <c r="H101" i="131" s="1"/>
  <c r="AB101" i="131" s="1"/>
  <c r="C9" i="131"/>
  <c r="C22" i="131"/>
  <c r="H22" i="131" s="1"/>
  <c r="AB22" i="131" s="1"/>
  <c r="D39" i="129"/>
  <c r="C76" i="131"/>
  <c r="H76" i="131" s="1"/>
  <c r="AB76" i="131" s="1"/>
  <c r="C20" i="131"/>
  <c r="H20" i="131" s="1"/>
  <c r="AB20" i="131" s="1"/>
  <c r="C104" i="131"/>
  <c r="H104" i="131" s="1"/>
  <c r="AB104" i="131" s="1"/>
  <c r="C98" i="131"/>
  <c r="C43" i="131"/>
  <c r="C94" i="131"/>
  <c r="H94" i="131" s="1"/>
  <c r="C38" i="131"/>
  <c r="C75" i="131"/>
  <c r="H75" i="131" s="1"/>
  <c r="AB75" i="131" s="1"/>
  <c r="C48" i="131"/>
  <c r="H48" i="131" s="1"/>
  <c r="AB48" i="131" s="1"/>
  <c r="C68" i="131"/>
  <c r="H68" i="131" s="1"/>
  <c r="AB68" i="131" s="1"/>
  <c r="C70" i="131"/>
  <c r="D21" i="129"/>
  <c r="C83" i="131"/>
  <c r="H83" i="131" s="1"/>
  <c r="AB83" i="131" s="1"/>
  <c r="C16" i="131"/>
  <c r="H16" i="131" s="1"/>
  <c r="AB16" i="131" s="1"/>
  <c r="C72" i="131"/>
  <c r="H72" i="131" s="1"/>
  <c r="AB72" i="131" s="1"/>
  <c r="C35" i="131"/>
  <c r="C66" i="131"/>
  <c r="H66" i="131" s="1"/>
  <c r="AB66" i="131" s="1"/>
  <c r="C36" i="131"/>
  <c r="C56" i="131"/>
  <c r="H56" i="131" s="1"/>
  <c r="AB56" i="131" s="1"/>
  <c r="C107" i="131"/>
  <c r="H107" i="131" s="1"/>
  <c r="AB107" i="131" s="1"/>
  <c r="D7" i="129"/>
  <c r="C44" i="131" l="1"/>
  <c r="D12" i="129"/>
  <c r="D36" i="129"/>
  <c r="C11" i="131"/>
  <c r="D38" i="129"/>
  <c r="D15" i="129"/>
  <c r="D14" i="129"/>
  <c r="C18" i="131"/>
  <c r="C21" i="131" s="1"/>
  <c r="C24" i="131" s="1"/>
  <c r="H17" i="131"/>
  <c r="H18" i="131" s="1"/>
  <c r="H21" i="131" s="1"/>
  <c r="D29" i="129"/>
  <c r="C37" i="131"/>
  <c r="C64" i="131"/>
  <c r="C79" i="131" s="1"/>
  <c r="H70" i="131"/>
  <c r="AB70" i="131" s="1"/>
  <c r="C92" i="131"/>
  <c r="D27" i="129"/>
  <c r="D48" i="129" s="1"/>
  <c r="D13" i="129"/>
  <c r="C47" i="131"/>
  <c r="C50" i="131" s="1"/>
  <c r="H43" i="131"/>
  <c r="AB43" i="131" s="1"/>
  <c r="D10" i="129"/>
  <c r="D19" i="129"/>
  <c r="D8" i="129"/>
  <c r="D49" i="129" s="1"/>
  <c r="D30" i="129"/>
  <c r="D9" i="129"/>
  <c r="C71" i="131"/>
  <c r="D33" i="129"/>
  <c r="D20" i="129"/>
  <c r="D61" i="129" s="1"/>
  <c r="D35" i="129"/>
  <c r="D34" i="129"/>
  <c r="D16" i="129"/>
  <c r="D31" i="129"/>
  <c r="D32" i="129"/>
  <c r="AB94" i="131"/>
  <c r="H98" i="131"/>
  <c r="C99" i="131"/>
  <c r="C102" i="131" s="1"/>
  <c r="C105" i="131" s="1"/>
  <c r="D11" i="129"/>
  <c r="D18" i="129"/>
  <c r="D17" i="129"/>
  <c r="D37" i="129"/>
  <c r="D59" i="129" l="1"/>
  <c r="D53" i="129"/>
  <c r="D57" i="129"/>
  <c r="C54" i="131"/>
  <c r="AB18" i="131"/>
  <c r="AB17" i="131"/>
  <c r="C53" i="131"/>
  <c r="C52" i="131"/>
  <c r="D56" i="129"/>
  <c r="H44" i="131"/>
  <c r="AB44" i="131" s="1"/>
  <c r="AB53" i="131" s="1"/>
  <c r="D55" i="129"/>
  <c r="D52" i="129"/>
  <c r="H71" i="131"/>
  <c r="H80" i="131" s="1"/>
  <c r="H99" i="131"/>
  <c r="AB98" i="131"/>
  <c r="D41" i="129"/>
  <c r="D58" i="129"/>
  <c r="C74" i="131"/>
  <c r="C80" i="131"/>
  <c r="D54" i="129"/>
  <c r="D60" i="129"/>
  <c r="D50" i="129"/>
  <c r="D22" i="129"/>
  <c r="E19" i="129" s="1"/>
  <c r="D51" i="129"/>
  <c r="H24" i="131"/>
  <c r="AB24" i="131" s="1"/>
  <c r="AB21" i="131"/>
  <c r="H74" i="131" l="1"/>
  <c r="AB74" i="131" s="1"/>
  <c r="AB81" i="131" s="1"/>
  <c r="AB71" i="131"/>
  <c r="AB80" i="131" s="1"/>
  <c r="E51" i="129"/>
  <c r="E60" i="129"/>
  <c r="H47" i="131"/>
  <c r="E55" i="129"/>
  <c r="H53" i="131"/>
  <c r="E57" i="129"/>
  <c r="E18" i="129"/>
  <c r="E54" i="129"/>
  <c r="E17" i="129"/>
  <c r="E30" i="129"/>
  <c r="E58" i="129"/>
  <c r="E21" i="129"/>
  <c r="E15" i="129"/>
  <c r="E12" i="129"/>
  <c r="E8" i="129"/>
  <c r="E14" i="129"/>
  <c r="E20" i="129"/>
  <c r="E16" i="129"/>
  <c r="E7" i="129"/>
  <c r="E10" i="129"/>
  <c r="E13" i="129"/>
  <c r="E11" i="129"/>
  <c r="E9" i="129"/>
  <c r="E33" i="129"/>
  <c r="E38" i="129"/>
  <c r="E39" i="129"/>
  <c r="E31" i="129"/>
  <c r="E48" i="129"/>
  <c r="E28" i="129"/>
  <c r="E52" i="129"/>
  <c r="E29" i="129"/>
  <c r="E37" i="129"/>
  <c r="E36" i="129"/>
  <c r="E32" i="129"/>
  <c r="E35" i="129"/>
  <c r="E34" i="129"/>
  <c r="E61" i="129"/>
  <c r="E40" i="129"/>
  <c r="E27" i="129"/>
  <c r="H102" i="131"/>
  <c r="AB99" i="131"/>
  <c r="E56" i="129"/>
  <c r="E53" i="129"/>
  <c r="E50" i="129"/>
  <c r="D62" i="129"/>
  <c r="C77" i="131"/>
  <c r="C81" i="131"/>
  <c r="E49" i="129"/>
  <c r="E59" i="129"/>
  <c r="H81" i="131" l="1"/>
  <c r="H77" i="131"/>
  <c r="AB77" i="131" s="1"/>
  <c r="AB47" i="131"/>
  <c r="AB54" i="131" s="1"/>
  <c r="H54" i="131"/>
  <c r="H50" i="131"/>
  <c r="AB50" i="131" s="1"/>
  <c r="AB102" i="131"/>
  <c r="H105" i="131"/>
  <c r="AB105" i="131" s="1"/>
  <c r="H106" i="131"/>
</calcChain>
</file>

<file path=xl/comments1.xml><?xml version="1.0" encoding="utf-8"?>
<comments xmlns="http://schemas.openxmlformats.org/spreadsheetml/2006/main">
  <authors>
    <author>Føyn Preben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Føyn Preben:</t>
        </r>
        <r>
          <rPr>
            <sz val="9"/>
            <color indexed="81"/>
            <rFont val="Tahoma"/>
            <family val="2"/>
          </rPr>
          <t xml:space="preserve">
Figures are to be updated in HFM after Q1-16, and before Q2</t>
        </r>
      </text>
    </comment>
  </commentList>
</comments>
</file>

<file path=xl/comments10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1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2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3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4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5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6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17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2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Traffic accident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Traffic accidents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3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4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5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6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7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8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comments9.xml><?xml version="1.0" encoding="utf-8"?>
<comments xmlns="http://schemas.openxmlformats.org/spreadsheetml/2006/main">
  <authors>
    <author>Eyvind Lome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Total number of full-time and part-time employees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Represents Level 1 &amp; 2 executives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The Lost-Time Injury Frequency (LTIF) is defined as the number of lost-time injuries per million worked hours.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The Sickness Absence Rate measures absence from work due to health issues (other than injuries) for Telenor employees as a percentage of possible working time.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CO2 emissions from consumption of grid electricy is based on methodology from International Energy Agency (IEA) for estimating country-specific indicators for CO2 emissions  related to electricity production 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reason for the yearly variation on this KPI is the network-swaps in different Business Units</t>
        </r>
      </text>
    </comment>
  </commentList>
</comments>
</file>

<file path=xl/sharedStrings.xml><?xml version="1.0" encoding="utf-8"?>
<sst xmlns="http://schemas.openxmlformats.org/spreadsheetml/2006/main" count="1492" uniqueCount="528">
  <si>
    <t>Investments in businesses</t>
  </si>
  <si>
    <t>YTD</t>
  </si>
  <si>
    <t>Contribution</t>
  </si>
  <si>
    <t>CAPEX</t>
  </si>
  <si>
    <t>Denmark</t>
  </si>
  <si>
    <t>Sweden</t>
  </si>
  <si>
    <t>Pakistan</t>
  </si>
  <si>
    <t>EBIT</t>
  </si>
  <si>
    <t>Impairment losses</t>
  </si>
  <si>
    <t>India</t>
  </si>
  <si>
    <t>NOK</t>
  </si>
  <si>
    <t>Norway</t>
  </si>
  <si>
    <t>Other</t>
  </si>
  <si>
    <t>Telenor.NBASWEDEN</t>
  </si>
  <si>
    <t>Share</t>
  </si>
  <si>
    <t>Capex</t>
  </si>
  <si>
    <t>(NOK millions)</t>
  </si>
  <si>
    <t>P3M100</t>
  </si>
  <si>
    <t>P3M200</t>
  </si>
  <si>
    <t>P3M02S</t>
  </si>
  <si>
    <t>P3M300</t>
  </si>
  <si>
    <t>P3M01S</t>
  </si>
  <si>
    <t>P3M400</t>
  </si>
  <si>
    <t>P3M</t>
  </si>
  <si>
    <t>P0FRT</t>
  </si>
  <si>
    <t>P0FRB</t>
  </si>
  <si>
    <t>P0FRD1</t>
  </si>
  <si>
    <t>P0FRO</t>
  </si>
  <si>
    <t>P0FR</t>
  </si>
  <si>
    <t>P0FW</t>
  </si>
  <si>
    <t>P0O100</t>
  </si>
  <si>
    <t>BASWEDEN.UKOSWE</t>
  </si>
  <si>
    <t>BASWEDEN.SWEMOB</t>
  </si>
  <si>
    <t>BASWEDEN.SWEFIX</t>
  </si>
  <si>
    <t>BASWEDEN.CORRSWE</t>
  </si>
  <si>
    <t>BASWEDEN.WBASWEDEN</t>
  </si>
  <si>
    <t>UKOSWE.BAMOBSWEDEN</t>
  </si>
  <si>
    <t>UKOSWE.UKOFSK</t>
  </si>
  <si>
    <t>UKOSWE.WUKOSWE</t>
  </si>
  <si>
    <t>BADENMARK.UKOFON</t>
  </si>
  <si>
    <t>BADENMARK.DANMER</t>
  </si>
  <si>
    <t>BADENMARK.WBADENMARK</t>
  </si>
  <si>
    <t>BROADCAST.BABRO</t>
  </si>
  <si>
    <t>BROADCAST.UKOMEDIA</t>
  </si>
  <si>
    <t>BROADCAST.WBROADCAST</t>
  </si>
  <si>
    <t>BABRO.UKODIS</t>
  </si>
  <si>
    <t>BABRO.UKOTRK</t>
  </si>
  <si>
    <t>BABRO.UKOBCO</t>
  </si>
  <si>
    <t>BABRO.WBABRO</t>
  </si>
  <si>
    <t>BAOTHER.FW</t>
  </si>
  <si>
    <t>BAOTHER.FORKOR</t>
  </si>
  <si>
    <t>BAOTHER.FORDRI</t>
  </si>
  <si>
    <t>BAOTHER.WBAOTHER</t>
  </si>
  <si>
    <t>FORKOR.UKOMSO</t>
  </si>
  <si>
    <t>FORKOR.IK</t>
  </si>
  <si>
    <t>FORKOR.TV</t>
  </si>
  <si>
    <t>FORKOR.MU</t>
  </si>
  <si>
    <t>FORKOR.UKOHOL</t>
  </si>
  <si>
    <t>FORKOR.WFORKOR</t>
  </si>
  <si>
    <t>FORKOR.UKOKEY</t>
  </si>
  <si>
    <t>FORKOR.UKOASA</t>
  </si>
  <si>
    <t>FORKOR.UKOFORS</t>
  </si>
  <si>
    <t>FORDRI.SI</t>
  </si>
  <si>
    <t>FORDRI.AFORDRI</t>
  </si>
  <si>
    <t>FORDRI.WFORDRI</t>
  </si>
  <si>
    <t>FORDRI.UKONEW</t>
  </si>
  <si>
    <t>FORDRI.UKOTMMH</t>
  </si>
  <si>
    <t>FORDRI.H4</t>
  </si>
  <si>
    <t>FORDRI.Y0</t>
  </si>
  <si>
    <t>FORDRI.UKOCXN</t>
  </si>
  <si>
    <t>FORDRI.Z2</t>
  </si>
  <si>
    <t>FORDRI.UKOTXN</t>
  </si>
  <si>
    <t>P1A000</t>
  </si>
  <si>
    <t>Other operations</t>
  </si>
  <si>
    <t>Other units</t>
  </si>
  <si>
    <t>DTAC - Thailand</t>
  </si>
  <si>
    <t>Entity</t>
  </si>
  <si>
    <t>Quarter</t>
  </si>
  <si>
    <t>Value (Currency)</t>
  </si>
  <si>
    <t>View</t>
  </si>
  <si>
    <t>Account</t>
  </si>
  <si>
    <t>Product codes</t>
  </si>
  <si>
    <t>Capex accounts</t>
  </si>
  <si>
    <t>Telenor.FM</t>
  </si>
  <si>
    <t>[ICP Top]</t>
  </si>
  <si>
    <t>NOK Total</t>
  </si>
  <si>
    <t>&lt;Scenario View&gt;</t>
  </si>
  <si>
    <t>2005</t>
  </si>
  <si>
    <t>C3_C8</t>
  </si>
  <si>
    <t>P1M111</t>
  </si>
  <si>
    <t>Telenor.UKONOR</t>
  </si>
  <si>
    <t>Proforma</t>
  </si>
  <si>
    <t>[ICP None]</t>
  </si>
  <si>
    <t>Quarter2</t>
  </si>
  <si>
    <t>NOK Adjs</t>
  </si>
  <si>
    <t>Periodic</t>
  </si>
  <si>
    <t>2006</t>
  </si>
  <si>
    <t>P1M112</t>
  </si>
  <si>
    <t>[ICP Entities]</t>
  </si>
  <si>
    <t>Quarter3</t>
  </si>
  <si>
    <t>2007</t>
  </si>
  <si>
    <t>C30R</t>
  </si>
  <si>
    <t>P1M121</t>
  </si>
  <si>
    <t>Quarter4</t>
  </si>
  <si>
    <t>QTD</t>
  </si>
  <si>
    <t>2008</t>
  </si>
  <si>
    <t>P1M122</t>
  </si>
  <si>
    <t>Telenor.UKOPANNON</t>
  </si>
  <si>
    <t>2009</t>
  </si>
  <si>
    <t>P1F110</t>
  </si>
  <si>
    <t>Telenor.UKODIGI</t>
  </si>
  <si>
    <t>2010</t>
  </si>
  <si>
    <t>P1F120</t>
  </si>
  <si>
    <t>Telenor.BAKYIVSTAR</t>
  </si>
  <si>
    <t>2011</t>
  </si>
  <si>
    <t>P1F130</t>
  </si>
  <si>
    <t>Telenor.UKOGRAMEEN</t>
  </si>
  <si>
    <t>2012</t>
  </si>
  <si>
    <t>C30001</t>
  </si>
  <si>
    <t>P1M130</t>
  </si>
  <si>
    <t>Telenor.UKOPAKISTAN</t>
  </si>
  <si>
    <t>2013</t>
  </si>
  <si>
    <t>C40110</t>
  </si>
  <si>
    <t>P1M140</t>
  </si>
  <si>
    <t>Telenor.UKOPROMONTE</t>
  </si>
  <si>
    <t>2014</t>
  </si>
  <si>
    <t>C40130</t>
  </si>
  <si>
    <t>P1A190</t>
  </si>
  <si>
    <t>Telenor.UKOTAC</t>
  </si>
  <si>
    <t>2015</t>
  </si>
  <si>
    <t>C40150</t>
  </si>
  <si>
    <t>P1M210</t>
  </si>
  <si>
    <t>Telenor.UKOSERBIA</t>
  </si>
  <si>
    <t>2016</t>
  </si>
  <si>
    <t>C40170</t>
  </si>
  <si>
    <t>P1M220</t>
  </si>
  <si>
    <t>Telenor.BAINDIA</t>
  </si>
  <si>
    <t>C40210</t>
  </si>
  <si>
    <t>P1M230</t>
  </si>
  <si>
    <t>C40230</t>
  </si>
  <si>
    <t>P1M240</t>
  </si>
  <si>
    <t>C40250</t>
  </si>
  <si>
    <t>P1M250</t>
  </si>
  <si>
    <t>Telenor.ATELENOR</t>
  </si>
  <si>
    <t>C40270</t>
  </si>
  <si>
    <t>P1F210</t>
  </si>
  <si>
    <t>Telenor.WTELENOR</t>
  </si>
  <si>
    <t>C40310</t>
  </si>
  <si>
    <t>P1F220</t>
  </si>
  <si>
    <t>C40330</t>
  </si>
  <si>
    <t>P1A290</t>
  </si>
  <si>
    <t>C40510</t>
  </si>
  <si>
    <t>P1A300</t>
  </si>
  <si>
    <t>C40610</t>
  </si>
  <si>
    <t>P1A400</t>
  </si>
  <si>
    <t>C40650</t>
  </si>
  <si>
    <t>C40655</t>
  </si>
  <si>
    <t>P1A200</t>
  </si>
  <si>
    <t>C40670</t>
  </si>
  <si>
    <t>P1M110</t>
  </si>
  <si>
    <t>C40675</t>
  </si>
  <si>
    <t>P1M120</t>
  </si>
  <si>
    <t>C40700</t>
  </si>
  <si>
    <t>C50100</t>
  </si>
  <si>
    <t>C50200</t>
  </si>
  <si>
    <t>C50300</t>
  </si>
  <si>
    <t>C50500</t>
  </si>
  <si>
    <t>C50600</t>
  </si>
  <si>
    <t>C50700</t>
  </si>
  <si>
    <t>C50900</t>
  </si>
  <si>
    <t>C60010</t>
  </si>
  <si>
    <t>C60020</t>
  </si>
  <si>
    <t>C60030</t>
  </si>
  <si>
    <t>C60040</t>
  </si>
  <si>
    <t>C60050</t>
  </si>
  <si>
    <t>C60060</t>
  </si>
  <si>
    <t>C60070</t>
  </si>
  <si>
    <t>C60080</t>
  </si>
  <si>
    <t>C60090</t>
  </si>
  <si>
    <t>BABRO.ABABRO</t>
  </si>
  <si>
    <t>C60110</t>
  </si>
  <si>
    <t>C60120</t>
  </si>
  <si>
    <t>C60130</t>
  </si>
  <si>
    <t>BAOTHER.XA</t>
  </si>
  <si>
    <t>C60140</t>
  </si>
  <si>
    <t>C60150</t>
  </si>
  <si>
    <t>C60160</t>
  </si>
  <si>
    <t>C60170</t>
  </si>
  <si>
    <t>C60180</t>
  </si>
  <si>
    <t>C60190</t>
  </si>
  <si>
    <t>C60200</t>
  </si>
  <si>
    <t>C60300</t>
  </si>
  <si>
    <t>C60400</t>
  </si>
  <si>
    <t>FORKOR.AT</t>
  </si>
  <si>
    <t>C60500</t>
  </si>
  <si>
    <t>C60600</t>
  </si>
  <si>
    <t>C60700</t>
  </si>
  <si>
    <t>FORKOR.AFORKOR</t>
  </si>
  <si>
    <t>C60950</t>
  </si>
  <si>
    <t>C73120</t>
  </si>
  <si>
    <t>C73129</t>
  </si>
  <si>
    <t>C73130</t>
  </si>
  <si>
    <t>C73131</t>
  </si>
  <si>
    <t>C73133</t>
  </si>
  <si>
    <t>FORDRI.XE</t>
  </si>
  <si>
    <t>C73134</t>
  </si>
  <si>
    <t>C73135</t>
  </si>
  <si>
    <t>FORDRI.GB</t>
  </si>
  <si>
    <t>C73136</t>
  </si>
  <si>
    <t>FORDRI.FA</t>
  </si>
  <si>
    <t>C73137</t>
  </si>
  <si>
    <t>FORDRI.UKONEX</t>
  </si>
  <si>
    <t>C73138</t>
  </si>
  <si>
    <t>FORDRI.UKOPVT</t>
  </si>
  <si>
    <t>C73300</t>
  </si>
  <si>
    <t>C73330</t>
  </si>
  <si>
    <t>C73390</t>
  </si>
  <si>
    <t>C73500</t>
  </si>
  <si>
    <t>FORDRI.DOBASAT</t>
  </si>
  <si>
    <t>C75110</t>
  </si>
  <si>
    <t>C75119</t>
  </si>
  <si>
    <t>C75120</t>
  </si>
  <si>
    <t>C75129</t>
  </si>
  <si>
    <t>FORDRI.Y9</t>
  </si>
  <si>
    <t>C75700</t>
  </si>
  <si>
    <t>C76110</t>
  </si>
  <si>
    <t>C76111</t>
  </si>
  <si>
    <t>C76119</t>
  </si>
  <si>
    <t>C76120</t>
  </si>
  <si>
    <t>C76129</t>
  </si>
  <si>
    <t>C76800</t>
  </si>
  <si>
    <t>C76910</t>
  </si>
  <si>
    <t>C76900</t>
  </si>
  <si>
    <t>C77971</t>
  </si>
  <si>
    <t>C77973</t>
  </si>
  <si>
    <t>C77979</t>
  </si>
  <si>
    <t>C77990</t>
  </si>
  <si>
    <t>C80100</t>
  </si>
  <si>
    <t>C80120</t>
  </si>
  <si>
    <t>C80160</t>
  </si>
  <si>
    <t>C80140</t>
  </si>
  <si>
    <t>C80330</t>
  </si>
  <si>
    <t>C80350</t>
  </si>
  <si>
    <t>C80630</t>
  </si>
  <si>
    <t>C80635</t>
  </si>
  <si>
    <t>C80390</t>
  </si>
  <si>
    <t>C81350</t>
  </si>
  <si>
    <t>C81370</t>
  </si>
  <si>
    <t>C81390</t>
  </si>
  <si>
    <t>C81500</t>
  </si>
  <si>
    <t>C82300</t>
  </si>
  <si>
    <t>C82310</t>
  </si>
  <si>
    <t>C82315</t>
  </si>
  <si>
    <t>C82320</t>
  </si>
  <si>
    <t>C82330</t>
  </si>
  <si>
    <t>C82350</t>
  </si>
  <si>
    <t>C82370</t>
  </si>
  <si>
    <t>C82380</t>
  </si>
  <si>
    <t>C82390</t>
  </si>
  <si>
    <t>C82400</t>
  </si>
  <si>
    <t>C82410</t>
  </si>
  <si>
    <t>C82415</t>
  </si>
  <si>
    <t>C82420</t>
  </si>
  <si>
    <t>C82430</t>
  </si>
  <si>
    <t>C82450</t>
  </si>
  <si>
    <t>C82470</t>
  </si>
  <si>
    <t>C82480</t>
  </si>
  <si>
    <t>C82490</t>
  </si>
  <si>
    <t>C82860</t>
  </si>
  <si>
    <t>C82870</t>
  </si>
  <si>
    <t>C82890</t>
  </si>
  <si>
    <t>C82895</t>
  </si>
  <si>
    <t>C83371</t>
  </si>
  <si>
    <t>C83373</t>
  </si>
  <si>
    <t>C83375</t>
  </si>
  <si>
    <t>C83377</t>
  </si>
  <si>
    <t>C83471</t>
  </si>
  <si>
    <t>C83473</t>
  </si>
  <si>
    <t>C83475</t>
  </si>
  <si>
    <t>C83477</t>
  </si>
  <si>
    <t>C84100</t>
  </si>
  <si>
    <t>C84200</t>
  </si>
  <si>
    <t>C84250</t>
  </si>
  <si>
    <t>C84300</t>
  </si>
  <si>
    <t>C84400</t>
  </si>
  <si>
    <t>C84950</t>
  </si>
  <si>
    <t>C86000</t>
  </si>
  <si>
    <t>C86050</t>
  </si>
  <si>
    <t>C86110</t>
  </si>
  <si>
    <t>C86130</t>
  </si>
  <si>
    <t>C86150</t>
  </si>
  <si>
    <t>C86170</t>
  </si>
  <si>
    <t>C89120C</t>
  </si>
  <si>
    <t>C89120M</t>
  </si>
  <si>
    <t>C89300</t>
  </si>
  <si>
    <t>C89350</t>
  </si>
  <si>
    <t>C89120</t>
  </si>
  <si>
    <t>C83</t>
  </si>
  <si>
    <t>C815</t>
  </si>
  <si>
    <t>C813</t>
  </si>
  <si>
    <t>C779</t>
  </si>
  <si>
    <t>C76S</t>
  </si>
  <si>
    <t>External revenues</t>
  </si>
  <si>
    <t>Internal revenues</t>
  </si>
  <si>
    <t>Broadcast</t>
  </si>
  <si>
    <t>DiGi - Malaysia</t>
  </si>
  <si>
    <t>EBITDA margin (%)</t>
  </si>
  <si>
    <t>Telenor.NBADENMARK</t>
  </si>
  <si>
    <t>Telenor.NUKOPANNON</t>
  </si>
  <si>
    <t>Telenor.NUKODIGI</t>
  </si>
  <si>
    <t>Telenor.NUKOGRAMEEN</t>
  </si>
  <si>
    <t>Telenor.NUKOPAKISTAN</t>
  </si>
  <si>
    <t>Telenor.NUKOPROMONTE</t>
  </si>
  <si>
    <t>Telenor.NUKOTAC</t>
  </si>
  <si>
    <t>Telenor.NUKOSERBIA</t>
  </si>
  <si>
    <t>Telenor.NBAINDIA</t>
  </si>
  <si>
    <t>Entity NOK</t>
  </si>
  <si>
    <t>NBASWEDEN.WNBASWEDEN</t>
  </si>
  <si>
    <t>NBADENMARK.WNBADENMARK</t>
  </si>
  <si>
    <t>FORDRI.Z3</t>
  </si>
  <si>
    <t>Eliminations</t>
  </si>
  <si>
    <t>Net Financial Items</t>
  </si>
  <si>
    <t>Total revenues</t>
  </si>
  <si>
    <t>Scenario</t>
  </si>
  <si>
    <t>ICP</t>
  </si>
  <si>
    <t>Quarter1</t>
  </si>
  <si>
    <t>C89T</t>
  </si>
  <si>
    <t>C87</t>
  </si>
  <si>
    <t>C88</t>
  </si>
  <si>
    <t>C891</t>
  </si>
  <si>
    <t>C893</t>
  </si>
  <si>
    <t>C49100</t>
  </si>
  <si>
    <t>C49200</t>
  </si>
  <si>
    <t>C49400</t>
  </si>
  <si>
    <t>C77852</t>
  </si>
  <si>
    <t>C77854</t>
  </si>
  <si>
    <t>C77859</t>
  </si>
  <si>
    <t>C77890</t>
  </si>
  <si>
    <t>C77893</t>
  </si>
  <si>
    <t>C80300</t>
  </si>
  <si>
    <t>C80310</t>
  </si>
  <si>
    <t>C80320</t>
  </si>
  <si>
    <t>C80325</t>
  </si>
  <si>
    <t>C81300</t>
  </si>
  <si>
    <t>C81310</t>
  </si>
  <si>
    <t>C81320</t>
  </si>
  <si>
    <t>C81325</t>
  </si>
  <si>
    <t>C81330</t>
  </si>
  <si>
    <t>C81335</t>
  </si>
  <si>
    <t>C83370</t>
  </si>
  <si>
    <t>C83470</t>
  </si>
  <si>
    <t>C88100</t>
  </si>
  <si>
    <t>C88200</t>
  </si>
  <si>
    <t>C861</t>
  </si>
  <si>
    <t>C86</t>
  </si>
  <si>
    <t>C860</t>
  </si>
  <si>
    <t>C84</t>
  </si>
  <si>
    <t>C82</t>
  </si>
  <si>
    <t>C81</t>
  </si>
  <si>
    <t>C80</t>
  </si>
  <si>
    <t>C84S</t>
  </si>
  <si>
    <t>C778</t>
  </si>
  <si>
    <t>C77</t>
  </si>
  <si>
    <t>C76</t>
  </si>
  <si>
    <t>C75</t>
  </si>
  <si>
    <t>C735</t>
  </si>
  <si>
    <t>C733</t>
  </si>
  <si>
    <t>C731</t>
  </si>
  <si>
    <t>C73</t>
  </si>
  <si>
    <t>C60</t>
  </si>
  <si>
    <t>C50</t>
  </si>
  <si>
    <t>C49</t>
  </si>
  <si>
    <t>C48</t>
  </si>
  <si>
    <t>EBITDA_BOI</t>
  </si>
  <si>
    <t>C85</t>
  </si>
  <si>
    <t>Net gains/losses on disposal of fixed assets and operations</t>
  </si>
  <si>
    <t>Accumulated Figures</t>
  </si>
  <si>
    <t>Quarterly Figures</t>
  </si>
  <si>
    <t>INPUT Quarter</t>
  </si>
  <si>
    <t>EBITDA before other items</t>
  </si>
  <si>
    <t>Other items - "Workforce reductions and loss contracts" - external</t>
  </si>
  <si>
    <t>Other items - "Workforce reductions and loss contracts" - internal</t>
  </si>
  <si>
    <t>Sum Other items</t>
  </si>
  <si>
    <t>Profit/Loss Associated Comp.</t>
  </si>
  <si>
    <t>Profit/Loss before Taxes and Minority interests</t>
  </si>
  <si>
    <t>EBITDA before other items - margin</t>
  </si>
  <si>
    <t>Operating profit margin</t>
  </si>
  <si>
    <t>Grameenphone</t>
  </si>
  <si>
    <t>Grameenphone - Bangladesh</t>
  </si>
  <si>
    <t>EBITDA margin</t>
  </si>
  <si>
    <t>Q1</t>
  </si>
  <si>
    <t>Q2</t>
  </si>
  <si>
    <t>Q3</t>
  </si>
  <si>
    <t>Q4</t>
  </si>
  <si>
    <t>Actual</t>
  </si>
  <si>
    <t>FORKOR</t>
  </si>
  <si>
    <t>C30</t>
  </si>
  <si>
    <t>Telenor.BASWEDEN</t>
  </si>
  <si>
    <t>Telenor.BADENMARK</t>
  </si>
  <si>
    <t>Telenor.BROADCAST</t>
  </si>
  <si>
    <t>Telenor.BAOTHER</t>
  </si>
  <si>
    <t>External.Telenor</t>
  </si>
  <si>
    <t>C40</t>
  </si>
  <si>
    <t>3M</t>
  </si>
  <si>
    <t>6M</t>
  </si>
  <si>
    <t>9M</t>
  </si>
  <si>
    <t>12M</t>
  </si>
  <si>
    <t>Operating profit</t>
  </si>
  <si>
    <t>EBITDA</t>
  </si>
  <si>
    <t>Year</t>
  </si>
  <si>
    <t>SP90008</t>
  </si>
  <si>
    <t>P1A100</t>
  </si>
  <si>
    <t>One-time effects to pension costs</t>
  </si>
  <si>
    <t>Please note - As a result of rounding differences, numbers or percentages may not add up to the total.</t>
  </si>
  <si>
    <t>Telenor - Hungary</t>
  </si>
  <si>
    <t>TGS</t>
  </si>
  <si>
    <t>DS Portfolio</t>
  </si>
  <si>
    <t>Depreciation and amortization</t>
  </si>
  <si>
    <t>Globul - Bulgaria</t>
  </si>
  <si>
    <t>Myanmar</t>
  </si>
  <si>
    <t>Montenegro &amp; Serbia</t>
  </si>
  <si>
    <t>EBITDA (boi)</t>
  </si>
  <si>
    <t>OCF</t>
  </si>
  <si>
    <t>Change</t>
  </si>
  <si>
    <t>Group revenues</t>
  </si>
  <si>
    <t>dtac</t>
  </si>
  <si>
    <t>This year</t>
  </si>
  <si>
    <t>Last year</t>
  </si>
  <si>
    <t>Manual update</t>
  </si>
  <si>
    <t>Server:Tlnphyp03.Gi.Telenor.com</t>
  </si>
  <si>
    <t>All Counterparts</t>
  </si>
  <si>
    <t>All Products</t>
  </si>
  <si>
    <t>All Systems</t>
  </si>
  <si>
    <t>All Functions</t>
  </si>
  <si>
    <t>All Reserves</t>
  </si>
  <si>
    <t>All Legal Entities</t>
  </si>
  <si>
    <t>All Projects</t>
  </si>
  <si>
    <t>All Currencies</t>
  </si>
  <si>
    <t>All GL Sources</t>
  </si>
  <si>
    <t>Accumulated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</si>
  <si>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</si>
  <si>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</si>
  <si>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</si>
  <si>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</si>
  <si>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</si>
  <si>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</si>
  <si>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</si>
  <si>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</si>
  <si>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</si>
  <si>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Dec 15</t>
  </si>
  <si>
    <t>Digital Businesses:</t>
  </si>
  <si>
    <t>Deducted from:</t>
  </si>
  <si>
    <t>REVENUES:</t>
  </si>
  <si>
    <t>C30 REVENUES (ac)</t>
  </si>
  <si>
    <t>SUMSE Digital Businesses (un.FJ)</t>
  </si>
  <si>
    <t>Corporate Functions</t>
  </si>
  <si>
    <t>C010 Digital Admin (un.CN)</t>
  </si>
  <si>
    <t>NBATAPAD Tapad Business Area Group in NOK (un)</t>
  </si>
  <si>
    <t>0</t>
  </si>
  <si>
    <t>UKOCXN Telenor Connexion Group (un)</t>
  </si>
  <si>
    <t xml:space="preserve">Sum Revenues Digital Business </t>
  </si>
  <si>
    <t>COGS:</t>
  </si>
  <si>
    <t>C40S Total Cost of Materials and Traffic Charges (ac)</t>
  </si>
  <si>
    <t>Sum COGS Digital Businesses</t>
  </si>
  <si>
    <t>OPEX:</t>
  </si>
  <si>
    <t>C70 Total Operating Expenses (ac)</t>
  </si>
  <si>
    <t>Sum OPEX Digital Businesses</t>
  </si>
  <si>
    <t>EBITDA_BOI:</t>
  </si>
  <si>
    <t>EBITDA_BOI (ac)</t>
  </si>
  <si>
    <t>Sum EBITDA_BOI Digital Businesses</t>
  </si>
  <si>
    <t>Revenue adjustment</t>
  </si>
  <si>
    <t>EBITDA and EBIT adjustment</t>
  </si>
  <si>
    <t>Manual adjustments for the Q1-2016 Webfile (NOK m)</t>
  </si>
  <si>
    <t>Occupational Health, Safety &amp; Security</t>
  </si>
  <si>
    <t>People &amp; Organisation</t>
  </si>
  <si>
    <t>Supply Chain Sustainability</t>
  </si>
  <si>
    <t>Sustainbility inspections and audits</t>
  </si>
  <si>
    <t>Climate Change</t>
  </si>
  <si>
    <t>Sustainability criteria used in procurement processes (%)</t>
  </si>
  <si>
    <t>Environment</t>
  </si>
  <si>
    <t>Municipal waste generation (tonnes)</t>
  </si>
  <si>
    <t>Municipal waste recycled (%)</t>
  </si>
  <si>
    <t>Electronic waste recycled/reused  (%)</t>
  </si>
  <si>
    <t xml:space="preserve">Employee Turnover </t>
  </si>
  <si>
    <t>GROUP</t>
  </si>
  <si>
    <t>1</t>
  </si>
  <si>
    <t xml:space="preserve">Total number of employees </t>
  </si>
  <si>
    <t>Women in total workforce  (%)</t>
  </si>
  <si>
    <t>Women in management positions  (%)</t>
  </si>
  <si>
    <t>Non-financial key figures. For more information - hover the cursor over the cell.</t>
  </si>
  <si>
    <t>Fatalities – employees</t>
  </si>
  <si>
    <t xml:space="preserve">Electronic waste generated (tonnes) </t>
  </si>
  <si>
    <t>Total energy use (GWh)</t>
  </si>
  <si>
    <t xml:space="preserve">Sustainability criteria used in procurement processes (%) </t>
  </si>
  <si>
    <t>Capacity building of suppliers (man-hours)</t>
  </si>
  <si>
    <t>Fatalities in the supply chain (from 2015 - including tiers below tier 1)</t>
  </si>
  <si>
    <t>Total CO2 Emissions  (thousand tonnes)</t>
  </si>
  <si>
    <t>Direct CO2 Emissions (Scope 1)  (thousand tonnes)</t>
  </si>
  <si>
    <t>Customer mobile phones and batteries collected for recycling or reuse</t>
  </si>
  <si>
    <t xml:space="preserve">Water use </t>
  </si>
  <si>
    <t xml:space="preserve">Lost Time Injury Frequency (LTIF) </t>
  </si>
  <si>
    <t xml:space="preserve">Sickness Absence Rate (full year average) </t>
  </si>
  <si>
    <t>Water use (cubic meter)</t>
  </si>
  <si>
    <t>0.61</t>
  </si>
  <si>
    <t>Mobile phones and batteries collected for recycling or reuse (units)</t>
  </si>
  <si>
    <t>Energy cost per revenue (%)</t>
  </si>
  <si>
    <t>Sickness Absence Rate (full year average)</t>
  </si>
  <si>
    <t>Lost Time Injury Frequency (LTIF)</t>
  </si>
  <si>
    <t>Indirect CO2 Emissions (Scope 2) (thousand tonnes)</t>
  </si>
  <si>
    <t>Other Indirect CO2 Emissions (Scope 3) (thousand tonnes)</t>
  </si>
  <si>
    <t>na</t>
  </si>
  <si>
    <t>Indirect CO2 Emissions (Scope 2)  (tonnes)</t>
  </si>
  <si>
    <t>Other Indirect CO2 Emissions (Scope 3) (tonnes)</t>
  </si>
  <si>
    <t>Direct CO2 Emissions (Scope 1)  (tonnes)</t>
  </si>
  <si>
    <t>Total CO2 Emissions  (tonnes)</t>
  </si>
  <si>
    <t>Fatalities – inhouse contractors</t>
  </si>
  <si>
    <t>digi</t>
  </si>
  <si>
    <t>Telenor Myanmar operations started in September 2014</t>
  </si>
  <si>
    <t>TelenorBulgariia operations started in 2013</t>
  </si>
  <si>
    <t xml:space="preserve">Fatalities in the supply chain (from 2015 - including tiers below tier 1) </t>
  </si>
  <si>
    <t>Bulgaria (Sold 2018)</t>
  </si>
  <si>
    <t>Hungary (Sold 2018)</t>
  </si>
  <si>
    <t>Montenegro (Sold 2018)</t>
  </si>
  <si>
    <t>Serbia (Sold 2018)</t>
  </si>
  <si>
    <t>India (Sold 2017)</t>
  </si>
  <si>
    <t>0.17</t>
  </si>
  <si>
    <t>Carbon emissions per mobile data traffic (tonnes CO2 / petabyte)</t>
  </si>
  <si>
    <t>Total number of full-time and part-time employees (without DNA)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</si>
</sst>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\ %"/>
    <numFmt numFmtId="167" formatCode="_(* #,##0.0_);_(* \(#,##0.0\);_(* &quot;-&quot;??_);_(@_)"/>
    <numFmt numFmtId="168" formatCode="#,##0;[Red]&quot;-&quot;#,##0"/>
    <numFmt numFmtId="169" formatCode="0.00_ ;[Red]\-0.00\ "/>
    <numFmt numFmtId="170" formatCode="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12"/>
      <name val="Palatino"/>
      <family val="1"/>
    </font>
    <font>
      <sz val="10"/>
      <name val="Helv"/>
    </font>
    <font>
      <sz val="8"/>
      <name val="Frutiger 55"/>
      <family val="2"/>
    </font>
    <font>
      <sz val="9"/>
      <name val="MS Sans Serif"/>
      <family val="2"/>
    </font>
    <font>
      <sz val="10"/>
      <name val="Helvetica"/>
      <family val="2"/>
    </font>
    <font>
      <b/>
      <sz val="24"/>
      <color indexed="12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Univers (WN)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i/>
      <sz val="24"/>
      <color indexed="10"/>
      <name val="Arial"/>
      <family val="2"/>
    </font>
    <font>
      <b/>
      <i/>
      <sz val="14"/>
      <name val="Arial"/>
      <family val="2"/>
    </font>
    <font>
      <sz val="8"/>
      <name val="Helv"/>
    </font>
    <font>
      <b/>
      <sz val="16"/>
      <name val="Arial"/>
      <family val="2"/>
    </font>
    <font>
      <b/>
      <u/>
      <sz val="10"/>
      <name val="Arial"/>
      <family val="2"/>
    </font>
    <font>
      <sz val="12"/>
      <color indexed="5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name val="palatino"/>
    </font>
    <font>
      <sz val="10"/>
      <name val="Helvetica"/>
    </font>
    <font>
      <sz val="10"/>
      <name val="Calibri"/>
      <family val="2"/>
    </font>
    <font>
      <sz val="9"/>
      <color indexed="9"/>
      <name val="Arial"/>
      <family val="2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53"/>
      <name val="Calibri"/>
      <family val="2"/>
      <scheme val="minor"/>
    </font>
    <font>
      <sz val="10"/>
      <color theme="0"/>
      <name val="Arial"/>
      <family val="2"/>
    </font>
    <font>
      <i/>
      <sz val="8"/>
      <color rgb="FFFF0000"/>
      <name val="Arial"/>
      <family val="2"/>
    </font>
    <font>
      <sz val="8"/>
      <color theme="0"/>
      <name val="Arial"/>
      <family val="2"/>
    </font>
    <font>
      <sz val="10"/>
      <color rgb="FF38454D"/>
      <name val="Arial"/>
      <family val="2"/>
    </font>
    <font>
      <sz val="10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0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dotted">
        <color indexed="24"/>
      </top>
      <bottom style="dotted">
        <color indexed="24"/>
      </bottom>
      <diagonal/>
    </border>
    <border>
      <left/>
      <right/>
      <top style="thin">
        <color indexed="24"/>
      </top>
      <bottom style="dotted">
        <color indexed="24"/>
      </bottom>
      <diagonal/>
    </border>
    <border>
      <left/>
      <right/>
      <top style="dotted">
        <color indexed="24"/>
      </top>
      <bottom style="thin">
        <color indexed="24"/>
      </bottom>
      <diagonal/>
    </border>
    <border>
      <left/>
      <right/>
      <top/>
      <bottom style="dotted">
        <color indexed="24"/>
      </bottom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33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 style="dotted">
        <color indexed="2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dotted">
        <color rgb="FF00B0F0"/>
      </top>
      <bottom style="dotted">
        <color rgb="FF00B0F0"/>
      </bottom>
      <diagonal/>
    </border>
    <border>
      <left/>
      <right/>
      <top/>
      <bottom style="dotted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dotted">
        <color rgb="FF00B0F0"/>
      </top>
      <bottom style="thin">
        <color rgb="FF00B0F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n">
        <color indexed="64"/>
      </right>
      <top style="thick">
        <color indexed="9"/>
      </top>
      <bottom/>
      <diagonal/>
    </border>
    <border>
      <left style="thick">
        <color indexed="9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 style="medium">
        <color theme="0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</borders>
  <cellStyleXfs count="1980">
    <xf numFmtId="0" fontId="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/>
    <xf numFmtId="0" fontId="21" fillId="3" borderId="0"/>
    <xf numFmtId="164" fontId="5" fillId="0" borderId="0" applyFont="0" applyFill="0" applyBorder="0" applyAlignment="0" applyProtection="0"/>
    <xf numFmtId="0" fontId="29" fillId="0" borderId="0"/>
    <xf numFmtId="0" fontId="20" fillId="0" borderId="0"/>
    <xf numFmtId="0" fontId="29" fillId="0" borderId="0"/>
    <xf numFmtId="0" fontId="20" fillId="0" borderId="0"/>
    <xf numFmtId="0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" fontId="22" fillId="4" borderId="0"/>
    <xf numFmtId="9" fontId="23" fillId="5" borderId="0" applyNumberFormat="0" applyFont="0" applyBorder="0" applyAlignment="0">
      <protection locked="0"/>
    </xf>
    <xf numFmtId="0" fontId="32" fillId="6" borderId="1" applyNumberFormat="0" applyProtection="0">
      <alignment vertical="center"/>
    </xf>
    <xf numFmtId="0" fontId="26" fillId="6" borderId="2" applyNumberFormat="0" applyProtection="0"/>
    <xf numFmtId="0" fontId="32" fillId="6" borderId="3" applyNumberFormat="0" applyProtection="0">
      <alignment vertical="center"/>
    </xf>
    <xf numFmtId="0" fontId="32" fillId="6" borderId="4" applyNumberFormat="0" applyProtection="0">
      <alignment vertical="center"/>
    </xf>
    <xf numFmtId="0" fontId="32" fillId="6" borderId="0" applyNumberFormat="0" applyProtection="0">
      <alignment vertical="center"/>
    </xf>
    <xf numFmtId="0" fontId="8" fillId="0" borderId="5" applyNumberFormat="0" applyProtection="0"/>
    <xf numFmtId="0" fontId="18" fillId="0" borderId="6" applyNumberFormat="0" applyProtection="0">
      <alignment horizontal="left" textRotation="90" wrapText="1"/>
    </xf>
    <xf numFmtId="0" fontId="27" fillId="6" borderId="0" applyNumberForma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1" fillId="3" borderId="0">
      <alignment horizontal="right"/>
    </xf>
    <xf numFmtId="164" fontId="21" fillId="3" borderId="0">
      <alignment horizontal="right"/>
    </xf>
    <xf numFmtId="0" fontId="21" fillId="3" borderId="0">
      <alignment horizontal="right"/>
    </xf>
    <xf numFmtId="164" fontId="21" fillId="3" borderId="0">
      <alignment horizontal="right"/>
    </xf>
    <xf numFmtId="0" fontId="21" fillId="3" borderId="0">
      <alignment horizontal="right"/>
    </xf>
    <xf numFmtId="0" fontId="21" fillId="3" borderId="0">
      <alignment horizontal="right"/>
    </xf>
    <xf numFmtId="0" fontId="21" fillId="3" borderId="0">
      <alignment horizontal="right"/>
    </xf>
    <xf numFmtId="164" fontId="21" fillId="3" borderId="0">
      <alignment horizontal="right"/>
    </xf>
    <xf numFmtId="0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0" fontId="36" fillId="0" borderId="0"/>
    <xf numFmtId="0" fontId="9" fillId="0" borderId="0"/>
    <xf numFmtId="0" fontId="14" fillId="0" borderId="0"/>
    <xf numFmtId="0" fontId="37" fillId="0" borderId="0"/>
    <xf numFmtId="0" fontId="15" fillId="0" borderId="0"/>
    <xf numFmtId="0" fontId="19" fillId="0" borderId="0" applyNumberFormat="0" applyAlignment="0" applyProtection="0"/>
    <xf numFmtId="168" fontId="24" fillId="0" borderId="0">
      <alignment horizontal="centerContinuous"/>
    </xf>
    <xf numFmtId="9" fontId="5" fillId="0" borderId="0" applyFont="0" applyFill="0" applyBorder="0" applyAlignment="0" applyProtection="0"/>
    <xf numFmtId="9" fontId="5" fillId="0" borderId="0"/>
    <xf numFmtId="1" fontId="25" fillId="7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0" applyNumberFormat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5" fillId="51" borderId="0" applyNumberFormat="0" applyBorder="0" applyAlignment="0" applyProtection="0"/>
    <xf numFmtId="0" fontId="4" fillId="28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2" borderId="0" applyNumberFormat="0" applyBorder="0" applyAlignment="0" applyProtection="0"/>
    <xf numFmtId="0" fontId="4" fillId="3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53" borderId="0" applyNumberFormat="0" applyBorder="0" applyAlignment="0" applyProtection="0"/>
    <xf numFmtId="0" fontId="4" fillId="36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4" fillId="40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4" fillId="44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2" borderId="0" applyNumberFormat="0" applyBorder="0" applyAlignment="0" applyProtection="0"/>
    <xf numFmtId="0" fontId="4" fillId="48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51" borderId="0" applyNumberFormat="0" applyBorder="0" applyAlignment="0" applyProtection="0"/>
    <xf numFmtId="0" fontId="4" fillId="29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33" borderId="0" applyNumberFormat="0" applyBorder="0" applyAlignment="0" applyProtection="0"/>
    <xf numFmtId="0" fontId="4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53" borderId="0" applyNumberFormat="0" applyBorder="0" applyAlignment="0" applyProtection="0"/>
    <xf numFmtId="0" fontId="4" fillId="37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4" fillId="41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4" fillId="45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2" borderId="0" applyNumberFormat="0" applyBorder="0" applyAlignment="0" applyProtection="0"/>
    <xf numFmtId="0" fontId="4" fillId="49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6" fillId="51" borderId="0" applyNumberFormat="0" applyBorder="0" applyAlignment="0" applyProtection="0"/>
    <xf numFmtId="0" fontId="59" fillId="30" borderId="0" applyNumberFormat="0" applyBorder="0" applyAlignment="0" applyProtection="0"/>
    <xf numFmtId="0" fontId="66" fillId="52" borderId="0" applyNumberFormat="0" applyBorder="0" applyAlignment="0" applyProtection="0"/>
    <xf numFmtId="0" fontId="59" fillId="34" borderId="0" applyNumberFormat="0" applyBorder="0" applyAlignment="0" applyProtection="0"/>
    <xf numFmtId="0" fontId="66" fillId="53" borderId="0" applyNumberFormat="0" applyBorder="0" applyAlignment="0" applyProtection="0"/>
    <xf numFmtId="0" fontId="59" fillId="38" borderId="0" applyNumberFormat="0" applyBorder="0" applyAlignment="0" applyProtection="0"/>
    <xf numFmtId="0" fontId="66" fillId="54" borderId="0" applyNumberFormat="0" applyBorder="0" applyAlignment="0" applyProtection="0"/>
    <xf numFmtId="0" fontId="59" fillId="42" borderId="0" applyNumberFormat="0" applyBorder="0" applyAlignment="0" applyProtection="0"/>
    <xf numFmtId="0" fontId="66" fillId="51" borderId="0" applyNumberFormat="0" applyBorder="0" applyAlignment="0" applyProtection="0"/>
    <xf numFmtId="0" fontId="59" fillId="46" borderId="0" applyNumberFormat="0" applyBorder="0" applyAlignment="0" applyProtection="0"/>
    <xf numFmtId="0" fontId="66" fillId="2" borderId="0" applyNumberFormat="0" applyBorder="0" applyAlignment="0" applyProtection="0"/>
    <xf numFmtId="0" fontId="59" fillId="50" borderId="0" applyNumberFormat="0" applyBorder="0" applyAlignment="0" applyProtection="0"/>
    <xf numFmtId="0" fontId="66" fillId="55" borderId="0" applyNumberFormat="0" applyBorder="0" applyAlignment="0" applyProtection="0"/>
    <xf numFmtId="0" fontId="59" fillId="27" borderId="0" applyNumberFormat="0" applyBorder="0" applyAlignment="0" applyProtection="0"/>
    <xf numFmtId="0" fontId="66" fillId="31" borderId="0" applyNumberFormat="0" applyBorder="0" applyAlignment="0" applyProtection="0"/>
    <xf numFmtId="0" fontId="59" fillId="31" borderId="0" applyNumberFormat="0" applyBorder="0" applyAlignment="0" applyProtection="0"/>
    <xf numFmtId="0" fontId="66" fillId="57" borderId="0" applyNumberFormat="0" applyBorder="0" applyAlignment="0" applyProtection="0"/>
    <xf numFmtId="0" fontId="59" fillId="35" borderId="0" applyNumberFormat="0" applyBorder="0" applyAlignment="0" applyProtection="0"/>
    <xf numFmtId="0" fontId="66" fillId="39" borderId="0" applyNumberFormat="0" applyBorder="0" applyAlignment="0" applyProtection="0"/>
    <xf numFmtId="0" fontId="59" fillId="39" borderId="0" applyNumberFormat="0" applyBorder="0" applyAlignment="0" applyProtection="0"/>
    <xf numFmtId="0" fontId="66" fillId="43" borderId="0" applyNumberFormat="0" applyBorder="0" applyAlignment="0" applyProtection="0"/>
    <xf numFmtId="0" fontId="59" fillId="43" borderId="0" applyNumberFormat="0" applyBorder="0" applyAlignment="0" applyProtection="0"/>
    <xf numFmtId="0" fontId="66" fillId="56" borderId="0" applyNumberFormat="0" applyBorder="0" applyAlignment="0" applyProtection="0"/>
    <xf numFmtId="0" fontId="59" fillId="47" borderId="0" applyNumberFormat="0" applyBorder="0" applyAlignment="0" applyProtection="0"/>
    <xf numFmtId="0" fontId="49" fillId="58" borderId="0" applyNumberFormat="0" applyBorder="0" applyAlignment="0" applyProtection="0"/>
    <xf numFmtId="0" fontId="49" fillId="21" borderId="0" applyNumberFormat="0" applyBorder="0" applyAlignment="0" applyProtection="0"/>
    <xf numFmtId="0" fontId="67" fillId="54" borderId="21" applyNumberFormat="0" applyAlignment="0" applyProtection="0"/>
    <xf numFmtId="0" fontId="53" fillId="24" borderId="21" applyNumberFormat="0" applyAlignment="0" applyProtection="0"/>
    <xf numFmtId="0" fontId="68" fillId="25" borderId="24" applyNumberFormat="0" applyAlignment="0" applyProtection="0"/>
    <xf numFmtId="0" fontId="55" fillId="25" borderId="24" applyNumberFormat="0" applyAlignment="0" applyProtection="0"/>
    <xf numFmtId="164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63" fillId="0" borderId="0" applyFont="0" applyFill="0" applyBorder="0" applyAlignment="0" applyProtection="0">
      <alignment horizont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9" fontId="62" fillId="5" borderId="0" applyNumberFormat="0" applyFont="0" applyBorder="0" applyAlignment="0">
      <protection locked="0"/>
    </xf>
    <xf numFmtId="0" fontId="48" fillId="53" borderId="0" applyNumberFormat="0" applyBorder="0" applyAlignment="0" applyProtection="0"/>
    <xf numFmtId="0" fontId="48" fillId="20" borderId="0" applyNumberFormat="0" applyBorder="0" applyAlignment="0" applyProtection="0"/>
    <xf numFmtId="0" fontId="13" fillId="6" borderId="2" applyNumberFormat="0" applyProtection="0"/>
    <xf numFmtId="0" fontId="15" fillId="0" borderId="6" applyNumberFormat="0" applyProtection="0">
      <alignment horizontal="left" textRotation="90" wrapText="1"/>
    </xf>
    <xf numFmtId="0" fontId="16" fillId="6" borderId="0" applyNumberFormat="0" applyProtection="0"/>
    <xf numFmtId="0" fontId="16" fillId="6" borderId="0" applyNumberFormat="0" applyProtection="0"/>
    <xf numFmtId="0" fontId="33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69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70" fillId="0" borderId="33" applyNumberFormat="0" applyFill="0" applyAlignment="0" applyProtection="0"/>
    <xf numFmtId="0" fontId="47" fillId="0" borderId="29" applyNumberFormat="0" applyFill="0" applyAlignment="0" applyProtection="0"/>
    <xf numFmtId="0" fontId="47" fillId="0" borderId="20" applyNumberFormat="0" applyFill="0" applyAlignment="0" applyProtection="0"/>
    <xf numFmtId="0" fontId="51" fillId="2" borderId="21" applyNumberFormat="0" applyAlignment="0" applyProtection="0"/>
    <xf numFmtId="0" fontId="51" fillId="23" borderId="21" applyNumberFormat="0" applyAlignment="0" applyProtection="0"/>
    <xf numFmtId="0" fontId="64" fillId="6" borderId="0">
      <alignment horizontal="right"/>
    </xf>
    <xf numFmtId="0" fontId="71" fillId="0" borderId="30" applyNumberFormat="0" applyFill="0" applyAlignment="0" applyProtection="0"/>
    <xf numFmtId="0" fontId="54" fillId="0" borderId="23" applyNumberFormat="0" applyFill="0" applyAlignment="0" applyProtection="0"/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164" fontId="21" fillId="3" borderId="0">
      <alignment horizontal="right"/>
    </xf>
    <xf numFmtId="0" fontId="7" fillId="0" borderId="0"/>
    <xf numFmtId="0" fontId="7" fillId="0" borderId="0"/>
    <xf numFmtId="0" fontId="15" fillId="0" borderId="0"/>
    <xf numFmtId="0" fontId="72" fillId="22" borderId="0" applyNumberFormat="0" applyBorder="0" applyAlignment="0" applyProtection="0"/>
    <xf numFmtId="0" fontId="50" fillId="2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 applyNumberFormat="0" applyBorder="0">
      <alignment horizont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 applyNumberFormat="0" applyBorder="0">
      <alignment horizont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26" borderId="25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52" fillId="54" borderId="22" applyNumberFormat="0" applyAlignment="0" applyProtection="0"/>
    <xf numFmtId="0" fontId="52" fillId="24" borderId="2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0" borderId="0" applyNumberFormat="0" applyAlignment="0" applyProtection="0"/>
    <xf numFmtId="0" fontId="39" fillId="0" borderId="0">
      <alignment vertical="top"/>
    </xf>
    <xf numFmtId="0" fontId="9" fillId="6" borderId="0"/>
    <xf numFmtId="0" fontId="73" fillId="0" borderId="31" applyNumberFormat="0" applyFill="0" applyAlignment="0" applyProtection="0"/>
    <xf numFmtId="0" fontId="58" fillId="0" borderId="26" applyNumberFormat="0" applyFill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63" fillId="0" borderId="0" applyFont="0" applyFill="0" applyBorder="0" applyAlignment="0" applyProtection="0">
      <alignment horizontal="center"/>
    </xf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63" fillId="0" borderId="0" applyNumberFormat="0" applyBorder="0">
      <alignment horizontal="center"/>
    </xf>
    <xf numFmtId="0" fontId="4" fillId="28" borderId="0" applyNumberFormat="0" applyBorder="0" applyAlignment="0" applyProtection="0"/>
    <xf numFmtId="0" fontId="4" fillId="36" borderId="0" applyNumberFormat="0" applyBorder="0" applyAlignment="0" applyProtection="0"/>
    <xf numFmtId="0" fontId="4" fillId="26" borderId="25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4" fillId="0" borderId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63" fillId="0" borderId="0" applyFont="0" applyFill="0" applyBorder="0" applyAlignment="0" applyProtection="0">
      <alignment horizontal="center"/>
    </xf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63" fillId="0" borderId="0" applyNumberFormat="0" applyBorder="0">
      <alignment horizontal="center"/>
    </xf>
    <xf numFmtId="0" fontId="4" fillId="26" borderId="25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0" fontId="60" fillId="26" borderId="7" applyNumberFormat="0" applyFont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4" fillId="0" borderId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25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32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32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43" fontId="5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32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32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26" borderId="25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0" borderId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6" borderId="25" applyNumberFormat="0" applyFont="0" applyAlignment="0" applyProtection="0"/>
    <xf numFmtId="0" fontId="2" fillId="0" borderId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0" borderId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25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1" applyFont="1" applyFill="1" applyBorder="1"/>
    <xf numFmtId="165" fontId="6" fillId="0" borderId="0" xfId="7" applyNumberFormat="1" applyFont="1" applyFill="1" applyBorder="1" applyProtection="1">
      <protection locked="0"/>
    </xf>
    <xf numFmtId="0" fontId="6" fillId="0" borderId="0" xfId="1" applyFont="1" applyFill="1" applyProtection="1">
      <protection locked="0"/>
    </xf>
    <xf numFmtId="165" fontId="6" fillId="0" borderId="0" xfId="7" applyNumberFormat="1" applyFont="1" applyFill="1" applyProtection="1">
      <protection locked="0"/>
    </xf>
    <xf numFmtId="0" fontId="6" fillId="0" borderId="0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6" fillId="0" borderId="0" xfId="1" applyFont="1" applyFill="1" applyProtection="1"/>
    <xf numFmtId="165" fontId="6" fillId="0" borderId="0" xfId="7" applyNumberFormat="1" applyFont="1" applyFill="1" applyProtection="1"/>
    <xf numFmtId="165" fontId="6" fillId="0" borderId="0" xfId="7" applyNumberFormat="1" applyFont="1" applyFill="1" applyBorder="1" applyProtection="1"/>
    <xf numFmtId="0" fontId="6" fillId="0" borderId="0" xfId="1" applyFont="1" applyFill="1" applyBorder="1" applyProtection="1"/>
    <xf numFmtId="0" fontId="6" fillId="0" borderId="0" xfId="1" applyFont="1" applyFill="1" applyAlignment="1" applyProtection="1">
      <alignment horizontal="left"/>
    </xf>
    <xf numFmtId="0" fontId="8" fillId="0" borderId="0" xfId="1" applyFont="1" applyFill="1" applyBorder="1" applyProtection="1"/>
    <xf numFmtId="0" fontId="6" fillId="0" borderId="0" xfId="1" applyFont="1" applyProtection="1">
      <protection locked="0"/>
    </xf>
    <xf numFmtId="0" fontId="6" fillId="0" borderId="0" xfId="1" applyFont="1" applyProtection="1"/>
    <xf numFmtId="165" fontId="6" fillId="0" borderId="0" xfId="7" applyNumberFormat="1" applyFont="1" applyBorder="1" applyProtection="1"/>
    <xf numFmtId="0" fontId="11" fillId="0" borderId="0" xfId="1" applyFont="1" applyProtection="1"/>
    <xf numFmtId="0" fontId="11" fillId="0" borderId="0" xfId="1" applyFont="1" applyFill="1" applyProtection="1"/>
    <xf numFmtId="0" fontId="6" fillId="0" borderId="0" xfId="1" applyFont="1" applyFill="1" applyBorder="1" applyAlignment="1" applyProtection="1">
      <alignment horizontal="centerContinuous"/>
      <protection locked="0"/>
    </xf>
    <xf numFmtId="0" fontId="8" fillId="12" borderId="0" xfId="1" applyFont="1" applyFill="1" applyBorder="1" applyProtection="1">
      <protection locked="0"/>
    </xf>
    <xf numFmtId="0" fontId="6" fillId="12" borderId="10" xfId="1" applyFont="1" applyFill="1" applyBorder="1" applyProtection="1">
      <protection locked="0"/>
    </xf>
    <xf numFmtId="0" fontId="8" fillId="12" borderId="10" xfId="1" applyFont="1" applyFill="1" applyBorder="1" applyAlignment="1" applyProtection="1">
      <alignment horizontal="right"/>
    </xf>
    <xf numFmtId="0" fontId="8" fillId="12" borderId="11" xfId="1" applyFont="1" applyFill="1" applyBorder="1" applyProtection="1">
      <protection locked="0"/>
    </xf>
    <xf numFmtId="0" fontId="8" fillId="13" borderId="17" xfId="1" applyFont="1" applyFill="1" applyBorder="1" applyAlignment="1" applyProtection="1">
      <alignment horizontal="centerContinuous"/>
      <protection locked="0"/>
    </xf>
    <xf numFmtId="0" fontId="6" fillId="13" borderId="17" xfId="1" applyFont="1" applyFill="1" applyBorder="1" applyAlignment="1" applyProtection="1">
      <alignment horizontal="centerContinuous"/>
      <protection locked="0"/>
    </xf>
    <xf numFmtId="0" fontId="6" fillId="0" borderId="14" xfId="1" applyFont="1" applyFill="1" applyBorder="1" applyProtection="1">
      <protection locked="0"/>
    </xf>
    <xf numFmtId="165" fontId="6" fillId="0" borderId="14" xfId="7" applyNumberFormat="1" applyFont="1" applyFill="1" applyBorder="1" applyProtection="1"/>
    <xf numFmtId="165" fontId="6" fillId="0" borderId="14" xfId="7" applyNumberFormat="1" applyFont="1" applyFill="1" applyBorder="1" applyProtection="1">
      <protection locked="0"/>
    </xf>
    <xf numFmtId="0" fontId="8" fillId="0" borderId="18" xfId="1" applyFont="1" applyFill="1" applyBorder="1" applyProtection="1">
      <protection locked="0"/>
    </xf>
    <xf numFmtId="165" fontId="8" fillId="0" borderId="18" xfId="7" applyNumberFormat="1" applyFont="1" applyFill="1" applyBorder="1" applyProtection="1"/>
    <xf numFmtId="165" fontId="8" fillId="0" borderId="18" xfId="7" applyNumberFormat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165" fontId="6" fillId="0" borderId="13" xfId="7" applyNumberFormat="1" applyFont="1" applyFill="1" applyBorder="1" applyProtection="1"/>
    <xf numFmtId="165" fontId="6" fillId="0" borderId="13" xfId="7" applyNumberFormat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165" fontId="6" fillId="0" borderId="15" xfId="7" applyNumberFormat="1" applyFont="1" applyFill="1" applyBorder="1" applyProtection="1"/>
    <xf numFmtId="0" fontId="6" fillId="0" borderId="12" xfId="1" applyFont="1" applyFill="1" applyBorder="1" applyProtection="1">
      <protection locked="0"/>
    </xf>
    <xf numFmtId="165" fontId="6" fillId="0" borderId="12" xfId="7" applyNumberFormat="1" applyFont="1" applyFill="1" applyBorder="1" applyProtection="1"/>
    <xf numFmtId="165" fontId="6" fillId="0" borderId="12" xfId="7" applyNumberFormat="1" applyFont="1" applyFill="1" applyBorder="1" applyProtection="1">
      <protection locked="0"/>
    </xf>
    <xf numFmtId="0" fontId="6" fillId="0" borderId="13" xfId="1" applyFont="1" applyFill="1" applyBorder="1" applyAlignment="1" applyProtection="1">
      <protection locked="0"/>
    </xf>
    <xf numFmtId="167" fontId="6" fillId="0" borderId="15" xfId="1" applyNumberFormat="1" applyFont="1" applyFill="1" applyBorder="1" applyProtection="1"/>
    <xf numFmtId="165" fontId="6" fillId="0" borderId="19" xfId="7" applyNumberFormat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Continuous"/>
    </xf>
    <xf numFmtId="0" fontId="6" fillId="0" borderId="0" xfId="1" applyFont="1" applyFill="1" applyBorder="1" applyAlignment="1" applyProtection="1">
      <alignment horizontal="centerContinuous"/>
    </xf>
    <xf numFmtId="0" fontId="6" fillId="0" borderId="0" xfId="1" applyFont="1" applyFill="1" applyBorder="1" applyAlignment="1" applyProtection="1"/>
    <xf numFmtId="0" fontId="8" fillId="0" borderId="0" xfId="7" applyNumberFormat="1" applyFont="1" applyFill="1" applyBorder="1" applyAlignment="1" applyProtection="1">
      <alignment horizontal="center"/>
    </xf>
    <xf numFmtId="0" fontId="38" fillId="0" borderId="0" xfId="1" applyFont="1" applyProtection="1">
      <protection locked="0"/>
    </xf>
    <xf numFmtId="0" fontId="38" fillId="0" borderId="0" xfId="1" applyFont="1" applyFill="1" applyProtection="1">
      <protection locked="0"/>
    </xf>
    <xf numFmtId="0" fontId="38" fillId="0" borderId="0" xfId="1" applyFont="1" applyFill="1" applyBorder="1" applyProtection="1">
      <protection locked="0"/>
    </xf>
    <xf numFmtId="0" fontId="11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9" fillId="0" borderId="0" xfId="1" applyFont="1"/>
    <xf numFmtId="49" fontId="0" fillId="0" borderId="0" xfId="1" applyNumberFormat="1" applyFont="1"/>
    <xf numFmtId="0" fontId="6" fillId="0" borderId="14" xfId="1" applyFont="1" applyFill="1" applyBorder="1" applyAlignment="1" applyProtection="1">
      <protection locked="0"/>
    </xf>
    <xf numFmtId="167" fontId="6" fillId="0" borderId="12" xfId="1" applyNumberFormat="1" applyFont="1" applyFill="1" applyBorder="1" applyProtection="1"/>
    <xf numFmtId="0" fontId="5" fillId="0" borderId="0" xfId="53"/>
    <xf numFmtId="0" fontId="5" fillId="0" borderId="0" xfId="0" applyFont="1"/>
    <xf numFmtId="165" fontId="6" fillId="17" borderId="12" xfId="7" applyNumberFormat="1" applyFont="1" applyFill="1" applyBorder="1" applyProtection="1"/>
    <xf numFmtId="165" fontId="6" fillId="16" borderId="12" xfId="7" applyNumberFormat="1" applyFont="1" applyFill="1" applyBorder="1" applyProtection="1"/>
    <xf numFmtId="165" fontId="6" fillId="16" borderId="13" xfId="7" applyNumberFormat="1" applyFont="1" applyFill="1" applyBorder="1" applyProtection="1"/>
    <xf numFmtId="165" fontId="6" fillId="16" borderId="14" xfId="7" applyNumberFormat="1" applyFont="1" applyFill="1" applyBorder="1" applyProtection="1"/>
    <xf numFmtId="165" fontId="6" fillId="16" borderId="0" xfId="7" applyNumberFormat="1" applyFont="1" applyFill="1" applyProtection="1"/>
    <xf numFmtId="165" fontId="8" fillId="16" borderId="18" xfId="7" applyNumberFormat="1" applyFont="1" applyFill="1" applyBorder="1" applyProtection="1"/>
    <xf numFmtId="0" fontId="42" fillId="0" borderId="0" xfId="0" applyFont="1"/>
    <xf numFmtId="166" fontId="0" fillId="0" borderId="0" xfId="48" applyNumberFormat="1" applyFont="1"/>
    <xf numFmtId="0" fontId="38" fillId="0" borderId="0" xfId="55" applyFont="1" applyFill="1" applyProtection="1">
      <protection locked="0"/>
    </xf>
    <xf numFmtId="0" fontId="6" fillId="0" borderId="0" xfId="55" applyFont="1" applyFill="1" applyProtection="1">
      <protection locked="0"/>
    </xf>
    <xf numFmtId="0" fontId="8" fillId="13" borderId="17" xfId="55" applyFont="1" applyFill="1" applyBorder="1" applyAlignment="1" applyProtection="1">
      <alignment horizontal="centerContinuous"/>
      <protection locked="0"/>
    </xf>
    <xf numFmtId="0" fontId="6" fillId="13" borderId="17" xfId="55" applyFont="1" applyFill="1" applyBorder="1" applyAlignment="1" applyProtection="1">
      <alignment horizontal="centerContinuous"/>
      <protection locked="0"/>
    </xf>
    <xf numFmtId="0" fontId="8" fillId="12" borderId="11" xfId="55" applyFont="1" applyFill="1" applyBorder="1" applyProtection="1">
      <protection locked="0"/>
    </xf>
    <xf numFmtId="0" fontId="8" fillId="12" borderId="10" xfId="55" applyFont="1" applyFill="1" applyBorder="1" applyAlignment="1" applyProtection="1">
      <alignment horizontal="right"/>
    </xf>
    <xf numFmtId="0" fontId="6" fillId="0" borderId="0" xfId="55" applyFont="1" applyFill="1" applyBorder="1" applyProtection="1">
      <protection locked="0"/>
    </xf>
    <xf numFmtId="0" fontId="6" fillId="0" borderId="0" xfId="55" applyFont="1" applyFill="1" applyProtection="1"/>
    <xf numFmtId="0" fontId="8" fillId="0" borderId="0" xfId="55" applyFont="1" applyFill="1" applyBorder="1" applyAlignment="1" applyProtection="1">
      <alignment horizontal="centerContinuous"/>
    </xf>
    <xf numFmtId="0" fontId="6" fillId="0" borderId="0" xfId="55" applyFont="1" applyFill="1" applyBorder="1" applyAlignment="1" applyProtection="1">
      <alignment horizontal="centerContinuous"/>
    </xf>
    <xf numFmtId="167" fontId="6" fillId="0" borderId="15" xfId="55" applyNumberFormat="1" applyFont="1" applyFill="1" applyBorder="1" applyProtection="1"/>
    <xf numFmtId="167" fontId="6" fillId="0" borderId="12" xfId="55" applyNumberFormat="1" applyFont="1" applyFill="1" applyBorder="1" applyProtection="1"/>
    <xf numFmtId="0" fontId="8" fillId="13" borderId="17" xfId="1" applyFont="1" applyFill="1" applyBorder="1" applyAlignment="1" applyProtection="1">
      <alignment horizontal="left"/>
      <protection locked="0"/>
    </xf>
    <xf numFmtId="0" fontId="38" fillId="0" borderId="0" xfId="55" applyFont="1" applyProtection="1">
      <protection locked="0"/>
    </xf>
    <xf numFmtId="0" fontId="11" fillId="0" borderId="0" xfId="55" applyFont="1" applyFill="1" applyProtection="1"/>
    <xf numFmtId="0" fontId="11" fillId="0" borderId="0" xfId="55" applyFont="1" applyProtection="1"/>
    <xf numFmtId="0" fontId="6" fillId="0" borderId="0" xfId="55" applyFont="1" applyProtection="1"/>
    <xf numFmtId="0" fontId="6" fillId="0" borderId="0" xfId="55" applyFont="1" applyProtection="1">
      <protection locked="0"/>
    </xf>
    <xf numFmtId="0" fontId="8" fillId="0" borderId="11" xfId="55" applyFont="1" applyFill="1" applyBorder="1" applyProtection="1">
      <protection locked="0"/>
    </xf>
    <xf numFmtId="165" fontId="8" fillId="0" borderId="16" xfId="7" applyNumberFormat="1" applyFont="1" applyFill="1" applyBorder="1" applyProtection="1"/>
    <xf numFmtId="165" fontId="8" fillId="0" borderId="11" xfId="7" applyNumberFormat="1" applyFont="1" applyFill="1" applyBorder="1" applyProtection="1"/>
    <xf numFmtId="0" fontId="6" fillId="0" borderId="11" xfId="1" applyFont="1" applyFill="1" applyBorder="1" applyProtection="1">
      <protection locked="0"/>
    </xf>
    <xf numFmtId="165" fontId="6" fillId="0" borderId="0" xfId="1" applyNumberFormat="1" applyFont="1" applyFill="1" applyBorder="1" applyProtection="1"/>
    <xf numFmtId="165" fontId="6" fillId="15" borderId="0" xfId="7" applyNumberFormat="1" applyFont="1" applyFill="1" applyProtection="1"/>
    <xf numFmtId="165" fontId="8" fillId="15" borderId="18" xfId="7" applyNumberFormat="1" applyFont="1" applyFill="1" applyBorder="1" applyProtection="1"/>
    <xf numFmtId="165" fontId="6" fillId="15" borderId="12" xfId="7" applyNumberFormat="1" applyFont="1" applyFill="1" applyBorder="1" applyProtection="1"/>
    <xf numFmtId="0" fontId="8" fillId="13" borderId="17" xfId="55" applyFont="1" applyFill="1" applyBorder="1" applyAlignment="1" applyProtection="1">
      <alignment horizontal="left"/>
      <protection locked="0"/>
    </xf>
    <xf numFmtId="0" fontId="6" fillId="0" borderId="35" xfId="1" applyFont="1" applyFill="1" applyBorder="1" applyAlignment="1"/>
    <xf numFmtId="165" fontId="0" fillId="0" borderId="35" xfId="7" applyNumberFormat="1" applyFont="1" applyBorder="1"/>
    <xf numFmtId="166" fontId="0" fillId="0" borderId="35" xfId="48" applyNumberFormat="1" applyFont="1" applyBorder="1"/>
    <xf numFmtId="0" fontId="6" fillId="0" borderId="34" xfId="1" applyFont="1" applyFill="1" applyBorder="1" applyAlignment="1"/>
    <xf numFmtId="166" fontId="0" fillId="0" borderId="34" xfId="48" applyNumberFormat="1" applyFont="1" applyBorder="1"/>
    <xf numFmtId="0" fontId="6" fillId="0" borderId="34" xfId="1" applyFont="1" applyFill="1" applyBorder="1"/>
    <xf numFmtId="0" fontId="6" fillId="0" borderId="36" xfId="1" applyFont="1" applyFill="1" applyBorder="1"/>
    <xf numFmtId="165" fontId="0" fillId="0" borderId="36" xfId="7" applyNumberFormat="1" applyFont="1" applyBorder="1"/>
    <xf numFmtId="0" fontId="0" fillId="0" borderId="36" xfId="0" applyBorder="1"/>
    <xf numFmtId="0" fontId="0" fillId="19" borderId="0" xfId="0" applyFill="1" applyBorder="1"/>
    <xf numFmtId="165" fontId="0" fillId="0" borderId="0" xfId="7" applyNumberFormat="1" applyFont="1" applyBorder="1"/>
    <xf numFmtId="165" fontId="0" fillId="0" borderId="36" xfId="0" applyNumberFormat="1" applyBorder="1"/>
    <xf numFmtId="166" fontId="0" fillId="0" borderId="37" xfId="48" applyNumberFormat="1" applyFont="1" applyBorder="1"/>
    <xf numFmtId="0" fontId="75" fillId="19" borderId="0" xfId="0" applyFont="1" applyFill="1" applyAlignment="1">
      <alignment horizontal="center"/>
    </xf>
    <xf numFmtId="166" fontId="0" fillId="0" borderId="0" xfId="48" applyNumberFormat="1" applyFont="1" applyBorder="1"/>
    <xf numFmtId="0" fontId="0" fillId="0" borderId="0" xfId="0" applyBorder="1"/>
    <xf numFmtId="166" fontId="0" fillId="0" borderId="0" xfId="0" applyNumberFormat="1"/>
    <xf numFmtId="165" fontId="0" fillId="16" borderId="35" xfId="7" applyNumberFormat="1" applyFont="1" applyFill="1" applyBorder="1"/>
    <xf numFmtId="0" fontId="0" fillId="0" borderId="0" xfId="0"/>
    <xf numFmtId="3" fontId="13" fillId="0" borderId="0" xfId="53" quotePrefix="1" applyNumberFormat="1" applyFont="1"/>
    <xf numFmtId="3" fontId="13" fillId="0" borderId="0" xfId="53" applyNumberFormat="1" applyFont="1"/>
    <xf numFmtId="3" fontId="16" fillId="11" borderId="39" xfId="53" quotePrefix="1" applyNumberFormat="1" applyFont="1" applyFill="1" applyBorder="1"/>
    <xf numFmtId="3" fontId="16" fillId="11" borderId="40" xfId="53" quotePrefix="1" applyNumberFormat="1" applyFont="1" applyFill="1" applyBorder="1"/>
    <xf numFmtId="3" fontId="40" fillId="11" borderId="38" xfId="53" quotePrefix="1" applyNumberFormat="1" applyFont="1" applyFill="1" applyBorder="1"/>
    <xf numFmtId="3" fontId="40" fillId="11" borderId="41" xfId="53" quotePrefix="1" applyNumberFormat="1" applyFont="1" applyFill="1" applyBorder="1"/>
    <xf numFmtId="3" fontId="13" fillId="0" borderId="0" xfId="53" quotePrefix="1" applyNumberFormat="1" applyFont="1" applyAlignment="1">
      <alignment wrapText="1"/>
    </xf>
    <xf numFmtId="3" fontId="11" fillId="0" borderId="0" xfId="53" quotePrefix="1" applyNumberFormat="1" applyFont="1" applyAlignment="1">
      <alignment wrapText="1"/>
    </xf>
    <xf numFmtId="3" fontId="16" fillId="11" borderId="38" xfId="53" quotePrefix="1" applyNumberFormat="1" applyFont="1" applyFill="1" applyBorder="1" applyAlignment="1">
      <alignment wrapText="1"/>
    </xf>
    <xf numFmtId="3" fontId="16" fillId="11" borderId="41" xfId="53" quotePrefix="1" applyNumberFormat="1" applyFont="1" applyFill="1" applyBorder="1" applyAlignment="1">
      <alignment wrapText="1"/>
    </xf>
    <xf numFmtId="3" fontId="43" fillId="60" borderId="0" xfId="53" quotePrefix="1" applyNumberFormat="1" applyFont="1" applyFill="1"/>
    <xf numFmtId="3" fontId="13" fillId="0" borderId="0" xfId="53" applyNumberFormat="1" applyFont="1" applyAlignment="1">
      <alignment wrapText="1"/>
    </xf>
    <xf numFmtId="3" fontId="15" fillId="0" borderId="0" xfId="53" quotePrefix="1" applyNumberFormat="1" applyFont="1" applyAlignment="1">
      <alignment wrapText="1"/>
    </xf>
    <xf numFmtId="3" fontId="43" fillId="17" borderId="8" xfId="1974" applyNumberFormat="1" applyFont="1" applyFill="1" applyBorder="1" applyAlignment="1">
      <alignment horizontal="right"/>
    </xf>
    <xf numFmtId="3" fontId="43" fillId="17" borderId="8" xfId="1974" quotePrefix="1" applyNumberFormat="1" applyFont="1" applyFill="1" applyBorder="1" applyAlignment="1">
      <alignment horizontal="right"/>
    </xf>
    <xf numFmtId="3" fontId="5" fillId="0" borderId="0" xfId="53" quotePrefix="1" applyNumberFormat="1" applyFont="1" applyFill="1" applyBorder="1"/>
    <xf numFmtId="3" fontId="43" fillId="0" borderId="0" xfId="53" applyNumberFormat="1" applyFont="1" applyFill="1"/>
    <xf numFmtId="3" fontId="43" fillId="0" borderId="0" xfId="53" applyNumberFormat="1" applyFont="1"/>
    <xf numFmtId="3" fontId="43" fillId="0" borderId="0" xfId="53" quotePrefix="1" applyNumberFormat="1" applyFont="1"/>
    <xf numFmtId="3" fontId="76" fillId="60" borderId="0" xfId="53" quotePrefix="1" applyNumberFormat="1" applyFont="1" applyFill="1"/>
    <xf numFmtId="3" fontId="76" fillId="17" borderId="8" xfId="1974" applyNumberFormat="1" applyFont="1" applyFill="1" applyBorder="1" applyAlignment="1">
      <alignment horizontal="right"/>
    </xf>
    <xf numFmtId="3" fontId="76" fillId="17" borderId="8" xfId="1974" quotePrefix="1" applyNumberFormat="1" applyFont="1" applyFill="1" applyBorder="1" applyAlignment="1">
      <alignment horizontal="right"/>
    </xf>
    <xf numFmtId="3" fontId="13" fillId="0" borderId="8" xfId="1974" quotePrefix="1" applyNumberFormat="1" applyFont="1" applyFill="1" applyBorder="1" applyAlignment="1">
      <alignment horizontal="right"/>
    </xf>
    <xf numFmtId="3" fontId="13" fillId="0" borderId="8" xfId="1974" quotePrefix="1" applyNumberFormat="1" applyFont="1" applyBorder="1" applyAlignment="1">
      <alignment horizontal="right"/>
    </xf>
    <xf numFmtId="3" fontId="13" fillId="60" borderId="0" xfId="53" quotePrefix="1" applyNumberFormat="1" applyFont="1" applyFill="1"/>
    <xf numFmtId="3" fontId="13" fillId="0" borderId="8" xfId="1974" applyNumberFormat="1" applyFont="1" applyFill="1" applyBorder="1" applyAlignment="1">
      <alignment horizontal="right"/>
    </xf>
    <xf numFmtId="3" fontId="15" fillId="14" borderId="0" xfId="53" quotePrefix="1" applyNumberFormat="1" applyFont="1" applyFill="1" applyAlignment="1">
      <alignment wrapText="1"/>
    </xf>
    <xf numFmtId="3" fontId="15" fillId="14" borderId="8" xfId="1974" applyNumberFormat="1" applyFont="1" applyFill="1" applyBorder="1" applyAlignment="1">
      <alignment horizontal="right"/>
    </xf>
    <xf numFmtId="3" fontId="15" fillId="0" borderId="0" xfId="53" quotePrefix="1" applyNumberFormat="1" applyFont="1"/>
    <xf numFmtId="3" fontId="15" fillId="0" borderId="0" xfId="53" applyNumberFormat="1" applyFont="1" applyAlignment="1">
      <alignment wrapText="1"/>
    </xf>
    <xf numFmtId="3" fontId="15" fillId="17" borderId="0" xfId="53" quotePrefix="1" applyNumberFormat="1" applyFont="1" applyFill="1" applyAlignment="1">
      <alignment wrapText="1"/>
    </xf>
    <xf numFmtId="3" fontId="15" fillId="17" borderId="8" xfId="1974" applyNumberFormat="1" applyFont="1" applyFill="1" applyBorder="1" applyAlignment="1">
      <alignment horizontal="right"/>
    </xf>
    <xf numFmtId="3" fontId="15" fillId="17" borderId="0" xfId="53" quotePrefix="1" applyNumberFormat="1" applyFont="1" applyFill="1"/>
    <xf numFmtId="3" fontId="15" fillId="17" borderId="0" xfId="53" applyNumberFormat="1" applyFont="1" applyFill="1" applyAlignment="1">
      <alignment wrapText="1"/>
    </xf>
    <xf numFmtId="3" fontId="5" fillId="0" borderId="0" xfId="53" quotePrefix="1" applyNumberFormat="1" applyFont="1" applyFill="1" applyBorder="1" applyAlignment="1">
      <alignment horizontal="left"/>
    </xf>
    <xf numFmtId="3" fontId="77" fillId="19" borderId="0" xfId="53" quotePrefix="1" applyNumberFormat="1" applyFont="1" applyFill="1"/>
    <xf numFmtId="0" fontId="6" fillId="0" borderId="0" xfId="53" applyFont="1"/>
    <xf numFmtId="0" fontId="12" fillId="8" borderId="42" xfId="46" applyFont="1" applyFill="1" applyBorder="1" applyAlignment="1"/>
    <xf numFmtId="0" fontId="6" fillId="9" borderId="43" xfId="46" applyFont="1" applyFill="1" applyBorder="1" applyAlignment="1"/>
    <xf numFmtId="0" fontId="6" fillId="9" borderId="44" xfId="46" applyFont="1" applyFill="1" applyBorder="1" applyAlignment="1"/>
    <xf numFmtId="0" fontId="17" fillId="61" borderId="45" xfId="46" applyFont="1" applyFill="1" applyBorder="1" applyAlignment="1">
      <alignment horizontal="center"/>
    </xf>
    <xf numFmtId="0" fontId="12" fillId="19" borderId="45" xfId="46" applyFont="1" applyFill="1" applyBorder="1" applyAlignment="1">
      <alignment horizontal="center"/>
    </xf>
    <xf numFmtId="0" fontId="12" fillId="11" borderId="46" xfId="46" applyFont="1" applyFill="1" applyBorder="1" applyAlignment="1">
      <alignment horizontal="center"/>
    </xf>
    <xf numFmtId="0" fontId="12" fillId="59" borderId="46" xfId="46" applyFont="1" applyFill="1" applyBorder="1" applyAlignment="1">
      <alignment horizontal="center"/>
    </xf>
    <xf numFmtId="0" fontId="12" fillId="18" borderId="47" xfId="46" applyFont="1" applyFill="1" applyBorder="1" applyAlignment="1">
      <alignment horizontal="center"/>
    </xf>
    <xf numFmtId="0" fontId="5" fillId="10" borderId="48" xfId="46" quotePrefix="1" applyFont="1" applyFill="1" applyBorder="1" applyAlignment="1"/>
    <xf numFmtId="0" fontId="78" fillId="0" borderId="0" xfId="0" applyFont="1" applyFill="1" applyAlignment="1">
      <alignment vertical="center" wrapText="1"/>
    </xf>
    <xf numFmtId="0" fontId="6" fillId="0" borderId="8" xfId="46" quotePrefix="1" applyFont="1" applyFill="1" applyBorder="1" applyAlignment="1"/>
    <xf numFmtId="165" fontId="6" fillId="0" borderId="8" xfId="46" applyNumberFormat="1" applyFont="1" applyFill="1" applyBorder="1" applyAlignment="1"/>
    <xf numFmtId="0" fontId="6" fillId="0" borderId="8" xfId="46" applyNumberFormat="1" applyFont="1" applyFill="1" applyBorder="1" applyAlignment="1">
      <alignment horizontal="center"/>
    </xf>
    <xf numFmtId="165" fontId="6" fillId="0" borderId="8" xfId="46" applyNumberFormat="1" applyFont="1" applyFill="1" applyBorder="1" applyAlignment="1">
      <alignment horizontal="right"/>
    </xf>
    <xf numFmtId="0" fontId="6" fillId="0" borderId="8" xfId="46" quotePrefix="1" applyFont="1" applyFill="1" applyBorder="1" applyAlignment="1">
      <alignment wrapText="1"/>
    </xf>
    <xf numFmtId="0" fontId="8" fillId="62" borderId="0" xfId="46" quotePrefix="1" applyFont="1" applyFill="1" applyBorder="1" applyAlignment="1"/>
    <xf numFmtId="0" fontId="6" fillId="62" borderId="8" xfId="46" applyNumberFormat="1" applyFont="1" applyFill="1" applyBorder="1" applyAlignment="1">
      <alignment horizontal="center"/>
    </xf>
    <xf numFmtId="0" fontId="79" fillId="0" borderId="0" xfId="0" applyFont="1" applyFill="1" applyAlignment="1">
      <alignment vertical="center" wrapText="1"/>
    </xf>
    <xf numFmtId="0" fontId="6" fillId="0" borderId="8" xfId="46" applyFont="1" applyFill="1" applyBorder="1" applyAlignment="1"/>
    <xf numFmtId="0" fontId="5" fillId="10" borderId="48" xfId="46" quotePrefix="1" applyFont="1" applyFill="1" applyBorder="1" applyAlignment="1">
      <alignment wrapText="1"/>
    </xf>
    <xf numFmtId="0" fontId="6" fillId="0" borderId="8" xfId="46" applyNumberFormat="1" applyFont="1" applyFill="1" applyBorder="1" applyAlignment="1"/>
    <xf numFmtId="0" fontId="6" fillId="0" borderId="0" xfId="46" quotePrefix="1" applyFont="1" applyFill="1" applyBorder="1" applyAlignment="1">
      <alignment wrapText="1"/>
    </xf>
    <xf numFmtId="165" fontId="5" fillId="0" borderId="0" xfId="53" applyNumberFormat="1"/>
    <xf numFmtId="1" fontId="6" fillId="0" borderId="8" xfId="46" applyNumberFormat="1" applyFont="1" applyFill="1" applyBorder="1" applyAlignment="1">
      <alignment horizontal="right"/>
    </xf>
    <xf numFmtId="2" fontId="6" fillId="0" borderId="8" xfId="46" applyNumberFormat="1" applyFont="1" applyFill="1" applyBorder="1" applyAlignment="1">
      <alignment horizontal="right"/>
    </xf>
    <xf numFmtId="169" fontId="6" fillId="0" borderId="8" xfId="46" applyNumberFormat="1" applyFont="1" applyFill="1" applyBorder="1" applyAlignment="1">
      <alignment horizontal="right"/>
    </xf>
    <xf numFmtId="3" fontId="6" fillId="0" borderId="8" xfId="46" applyNumberFormat="1" applyFont="1" applyFill="1" applyBorder="1" applyAlignment="1">
      <alignment horizontal="right"/>
    </xf>
    <xf numFmtId="0" fontId="6" fillId="0" borderId="8" xfId="46" applyNumberFormat="1" applyFont="1" applyFill="1" applyBorder="1" applyAlignment="1">
      <alignment horizontal="right"/>
    </xf>
    <xf numFmtId="0" fontId="8" fillId="62" borderId="49" xfId="46" quotePrefix="1" applyFont="1" applyFill="1" applyBorder="1" applyAlignment="1"/>
    <xf numFmtId="170" fontId="6" fillId="0" borderId="8" xfId="46" applyNumberFormat="1" applyFont="1" applyFill="1" applyBorder="1" applyAlignment="1">
      <alignment horizontal="right"/>
    </xf>
    <xf numFmtId="0" fontId="6" fillId="0" borderId="8" xfId="46" quotePrefix="1" applyFont="1" applyFill="1" applyBorder="1" applyAlignment="1">
      <alignment horizontal="right" wrapText="1"/>
    </xf>
    <xf numFmtId="0" fontId="6" fillId="0" borderId="8" xfId="46" quotePrefix="1" applyFont="1" applyFill="1" applyBorder="1" applyAlignment="1">
      <alignment horizontal="right"/>
    </xf>
    <xf numFmtId="0" fontId="6" fillId="0" borderId="9" xfId="46" quotePrefix="1" applyFont="1" applyFill="1" applyBorder="1" applyAlignment="1"/>
    <xf numFmtId="0" fontId="6" fillId="0" borderId="9" xfId="46" applyFont="1" applyFill="1" applyBorder="1" applyAlignment="1"/>
    <xf numFmtId="0" fontId="6" fillId="0" borderId="9" xfId="46" quotePrefix="1" applyFont="1" applyFill="1" applyBorder="1" applyAlignment="1">
      <alignment wrapText="1"/>
    </xf>
    <xf numFmtId="0" fontId="6" fillId="62" borderId="0" xfId="46" applyNumberFormat="1" applyFont="1" applyFill="1" applyBorder="1" applyAlignment="1">
      <alignment horizontal="center"/>
    </xf>
    <xf numFmtId="0" fontId="6" fillId="62" borderId="0" xfId="46" applyNumberFormat="1" applyFont="1" applyFill="1" applyBorder="1" applyAlignment="1"/>
    <xf numFmtId="0" fontId="12" fillId="8" borderId="0" xfId="46" applyFont="1" applyFill="1" applyBorder="1" applyAlignment="1"/>
    <xf numFmtId="0" fontId="6" fillId="62" borderId="49" xfId="46" applyNumberFormat="1" applyFont="1" applyFill="1" applyBorder="1" applyAlignment="1">
      <alignment horizontal="center"/>
    </xf>
    <xf numFmtId="0" fontId="12" fillId="63" borderId="47" xfId="46" applyFont="1" applyFill="1" applyBorder="1" applyAlignment="1">
      <alignment horizontal="center"/>
    </xf>
    <xf numFmtId="0" fontId="12" fillId="14" borderId="47" xfId="46" applyFont="1" applyFill="1" applyBorder="1" applyAlignment="1">
      <alignment horizontal="center"/>
    </xf>
    <xf numFmtId="1" fontId="6" fillId="0" borderId="8" xfId="46" applyNumberFormat="1" applyFont="1" applyFill="1" applyBorder="1" applyAlignment="1"/>
    <xf numFmtId="0" fontId="12" fillId="64" borderId="47" xfId="46" applyFont="1" applyFill="1" applyBorder="1" applyAlignment="1">
      <alignment horizontal="center"/>
    </xf>
    <xf numFmtId="0" fontId="8" fillId="12" borderId="11" xfId="1" applyFont="1" applyFill="1" applyBorder="1" applyAlignment="1" applyProtection="1">
      <alignment horizontal="center"/>
      <protection locked="0"/>
    </xf>
    <xf numFmtId="0" fontId="8" fillId="0" borderId="11" xfId="55" applyFont="1" applyFill="1" applyBorder="1" applyAlignment="1" applyProtection="1">
      <alignment horizontal="center"/>
      <protection locked="0"/>
    </xf>
    <xf numFmtId="0" fontId="8" fillId="12" borderId="11" xfId="55" applyFont="1" applyFill="1" applyBorder="1" applyAlignment="1" applyProtection="1">
      <alignment horizontal="center"/>
      <protection locked="0"/>
    </xf>
  </cellXfs>
  <cellStyles count="1980">
    <cellStyle name="%" xfId="1"/>
    <cellStyle name="% 2" xfId="55"/>
    <cellStyle name="_Kyivstar grunnlag Q407~1" xfId="2"/>
    <cellStyle name="_Minority Interest and EV" xfId="3"/>
    <cellStyle name="_Q407-pack_draft" xfId="4"/>
    <cellStyle name="20% - Accent1 10" xfId="60"/>
    <cellStyle name="20% - Accent1 10 2" xfId="616"/>
    <cellStyle name="20% - Accent1 10 2 2" xfId="1094"/>
    <cellStyle name="20% - Accent1 10 2 2 2" xfId="1535"/>
    <cellStyle name="20% - Accent1 10 2 3" xfId="1376"/>
    <cellStyle name="20% - Accent1 10 2 4" xfId="935"/>
    <cellStyle name="20% - Accent1 10 2 5" xfId="1855"/>
    <cellStyle name="20% - Accent1 10 3" xfId="642"/>
    <cellStyle name="20% - Accent1 10 3 2" xfId="1106"/>
    <cellStyle name="20% - Accent1 10 3 2 2" xfId="1547"/>
    <cellStyle name="20% - Accent1 10 3 3" xfId="1388"/>
    <cellStyle name="20% - Accent1 10 3 4" xfId="947"/>
    <cellStyle name="20% - Accent1 10 3 5" xfId="1867"/>
    <cellStyle name="20% - Accent1 10 4" xfId="1054"/>
    <cellStyle name="20% - Accent1 10 4 2" xfId="1495"/>
    <cellStyle name="20% - Accent1 10 5" xfId="1336"/>
    <cellStyle name="20% - Accent1 10 6" xfId="895"/>
    <cellStyle name="20% - Accent1 10 7" xfId="1815"/>
    <cellStyle name="20% - Accent1 11" xfId="591"/>
    <cellStyle name="20% - Accent1 11 2" xfId="712"/>
    <cellStyle name="20% - Accent1 11 2 2" xfId="1111"/>
    <cellStyle name="20% - Accent1 11 2 2 2" xfId="1552"/>
    <cellStyle name="20% - Accent1 11 2 3" xfId="1393"/>
    <cellStyle name="20% - Accent1 11 2 4" xfId="952"/>
    <cellStyle name="20% - Accent1 11 2 5" xfId="1872"/>
    <cellStyle name="20% - Accent1 11 3" xfId="855"/>
    <cellStyle name="20% - Accent1 11 3 2" xfId="1175"/>
    <cellStyle name="20% - Accent1 11 3 2 2" xfId="1616"/>
    <cellStyle name="20% - Accent1 11 3 3" xfId="1457"/>
    <cellStyle name="20% - Accent1 11 3 4" xfId="1016"/>
    <cellStyle name="20% - Accent1 11 3 5" xfId="1936"/>
    <cellStyle name="20% - Accent1 11 4" xfId="1069"/>
    <cellStyle name="20% - Accent1 11 4 2" xfId="1510"/>
    <cellStyle name="20% - Accent1 11 5" xfId="1351"/>
    <cellStyle name="20% - Accent1 11 6" xfId="910"/>
    <cellStyle name="20% - Accent1 11 7" xfId="1830"/>
    <cellStyle name="20% - Accent1 12" xfId="604"/>
    <cellStyle name="20% - Accent1 12 2" xfId="725"/>
    <cellStyle name="20% - Accent1 12 2 2" xfId="1124"/>
    <cellStyle name="20% - Accent1 12 2 2 2" xfId="1565"/>
    <cellStyle name="20% - Accent1 12 2 3" xfId="1406"/>
    <cellStyle name="20% - Accent1 12 2 4" xfId="965"/>
    <cellStyle name="20% - Accent1 12 2 5" xfId="1885"/>
    <cellStyle name="20% - Accent1 12 3" xfId="868"/>
    <cellStyle name="20% - Accent1 12 3 2" xfId="1188"/>
    <cellStyle name="20% - Accent1 12 3 2 2" xfId="1629"/>
    <cellStyle name="20% - Accent1 12 3 3" xfId="1470"/>
    <cellStyle name="20% - Accent1 12 3 4" xfId="1029"/>
    <cellStyle name="20% - Accent1 12 3 5" xfId="1949"/>
    <cellStyle name="20% - Accent1 12 4" xfId="1082"/>
    <cellStyle name="20% - Accent1 12 4 2" xfId="1523"/>
    <cellStyle name="20% - Accent1 12 5" xfId="1364"/>
    <cellStyle name="20% - Accent1 12 6" xfId="923"/>
    <cellStyle name="20% - Accent1 12 7" xfId="1843"/>
    <cellStyle name="20% - Accent1 13" xfId="738"/>
    <cellStyle name="20% - Accent1 13 2" xfId="881"/>
    <cellStyle name="20% - Accent1 13 2 2" xfId="1201"/>
    <cellStyle name="20% - Accent1 13 2 2 2" xfId="1642"/>
    <cellStyle name="20% - Accent1 13 2 3" xfId="1483"/>
    <cellStyle name="20% - Accent1 13 2 4" xfId="1042"/>
    <cellStyle name="20% - Accent1 13 2 5" xfId="1962"/>
    <cellStyle name="20% - Accent1 13 3" xfId="1137"/>
    <cellStyle name="20% - Accent1 13 3 2" xfId="1578"/>
    <cellStyle name="20% - Accent1 13 4" xfId="1419"/>
    <cellStyle name="20% - Accent1 13 5" xfId="978"/>
    <cellStyle name="20% - Accent1 13 6" xfId="1898"/>
    <cellStyle name="20% - Accent1 14" xfId="751"/>
    <cellStyle name="20% - Accent1 14 2" xfId="1150"/>
    <cellStyle name="20% - Accent1 14 2 2" xfId="1591"/>
    <cellStyle name="20% - Accent1 14 3" xfId="1432"/>
    <cellStyle name="20% - Accent1 14 4" xfId="991"/>
    <cellStyle name="20% - Accent1 14 5" xfId="1911"/>
    <cellStyle name="20% - Accent1 15" xfId="59"/>
    <cellStyle name="20% - Accent1 15 2" xfId="1655"/>
    <cellStyle name="20% - Accent1 15 3" xfId="1214"/>
    <cellStyle name="20% - Accent1 16" xfId="1227"/>
    <cellStyle name="20% - Accent1 16 2" xfId="1667"/>
    <cellStyle name="20% - Accent1 17" xfId="1241"/>
    <cellStyle name="20% - Accent1 17 2" xfId="1681"/>
    <cellStyle name="20% - Accent1 18" xfId="1256"/>
    <cellStyle name="20% - Accent1 18 2" xfId="1694"/>
    <cellStyle name="20% - Accent1 19" xfId="1269"/>
    <cellStyle name="20% - Accent1 19 2" xfId="1707"/>
    <cellStyle name="20% - Accent1 2" xfId="61"/>
    <cellStyle name="20% - Accent1 20" xfId="1282"/>
    <cellStyle name="20% - Accent1 20 2" xfId="1720"/>
    <cellStyle name="20% - Accent1 21" xfId="1295"/>
    <cellStyle name="20% - Accent1 21 2" xfId="1733"/>
    <cellStyle name="20% - Accent1 22" xfId="1309"/>
    <cellStyle name="20% - Accent1 22 2" xfId="1747"/>
    <cellStyle name="20% - Accent1 23" xfId="1322"/>
    <cellStyle name="20% - Accent1 23 2" xfId="1760"/>
    <cellStyle name="20% - Accent1 24" xfId="1774"/>
    <cellStyle name="20% - Accent1 25" xfId="1789"/>
    <cellStyle name="20% - Accent1 26" xfId="1803"/>
    <cellStyle name="20% - Accent1 3" xfId="62"/>
    <cellStyle name="20% - Accent1 4" xfId="63"/>
    <cellStyle name="20% - Accent1 5" xfId="64"/>
    <cellStyle name="20% - Accent1 6" xfId="65"/>
    <cellStyle name="20% - Accent1 7" xfId="66"/>
    <cellStyle name="20% - Accent1 8" xfId="67"/>
    <cellStyle name="20% - Accent1 9" xfId="68"/>
    <cellStyle name="20% - Accent2 10" xfId="70"/>
    <cellStyle name="20% - Accent2 10 2" xfId="617"/>
    <cellStyle name="20% - Accent2 10 2 2" xfId="1095"/>
    <cellStyle name="20% - Accent2 10 2 2 2" xfId="1536"/>
    <cellStyle name="20% - Accent2 10 2 3" xfId="1377"/>
    <cellStyle name="20% - Accent2 10 2 4" xfId="936"/>
    <cellStyle name="20% - Accent2 10 2 5" xfId="1856"/>
    <cellStyle name="20% - Accent2 10 3" xfId="763"/>
    <cellStyle name="20% - Accent2 10 3 2" xfId="1162"/>
    <cellStyle name="20% - Accent2 10 3 2 2" xfId="1603"/>
    <cellStyle name="20% - Accent2 10 3 3" xfId="1444"/>
    <cellStyle name="20% - Accent2 10 3 4" xfId="1003"/>
    <cellStyle name="20% - Accent2 10 3 5" xfId="1923"/>
    <cellStyle name="20% - Accent2 10 4" xfId="1055"/>
    <cellStyle name="20% - Accent2 10 4 2" xfId="1496"/>
    <cellStyle name="20% - Accent2 10 5" xfId="1337"/>
    <cellStyle name="20% - Accent2 10 6" xfId="896"/>
    <cellStyle name="20% - Accent2 10 7" xfId="1816"/>
    <cellStyle name="20% - Accent2 11" xfId="593"/>
    <cellStyle name="20% - Accent2 11 2" xfId="714"/>
    <cellStyle name="20% - Accent2 11 2 2" xfId="1113"/>
    <cellStyle name="20% - Accent2 11 2 2 2" xfId="1554"/>
    <cellStyle name="20% - Accent2 11 2 3" xfId="1395"/>
    <cellStyle name="20% - Accent2 11 2 4" xfId="954"/>
    <cellStyle name="20% - Accent2 11 2 5" xfId="1874"/>
    <cellStyle name="20% - Accent2 11 3" xfId="857"/>
    <cellStyle name="20% - Accent2 11 3 2" xfId="1177"/>
    <cellStyle name="20% - Accent2 11 3 2 2" xfId="1618"/>
    <cellStyle name="20% - Accent2 11 3 3" xfId="1459"/>
    <cellStyle name="20% - Accent2 11 3 4" xfId="1018"/>
    <cellStyle name="20% - Accent2 11 3 5" xfId="1938"/>
    <cellStyle name="20% - Accent2 11 4" xfId="1071"/>
    <cellStyle name="20% - Accent2 11 4 2" xfId="1512"/>
    <cellStyle name="20% - Accent2 11 5" xfId="1353"/>
    <cellStyle name="20% - Accent2 11 6" xfId="912"/>
    <cellStyle name="20% - Accent2 11 7" xfId="1832"/>
    <cellStyle name="20% - Accent2 12" xfId="606"/>
    <cellStyle name="20% - Accent2 12 2" xfId="727"/>
    <cellStyle name="20% - Accent2 12 2 2" xfId="1126"/>
    <cellStyle name="20% - Accent2 12 2 2 2" xfId="1567"/>
    <cellStyle name="20% - Accent2 12 2 3" xfId="1408"/>
    <cellStyle name="20% - Accent2 12 2 4" xfId="967"/>
    <cellStyle name="20% - Accent2 12 2 5" xfId="1887"/>
    <cellStyle name="20% - Accent2 12 3" xfId="870"/>
    <cellStyle name="20% - Accent2 12 3 2" xfId="1190"/>
    <cellStyle name="20% - Accent2 12 3 2 2" xfId="1631"/>
    <cellStyle name="20% - Accent2 12 3 3" xfId="1472"/>
    <cellStyle name="20% - Accent2 12 3 4" xfId="1031"/>
    <cellStyle name="20% - Accent2 12 3 5" xfId="1951"/>
    <cellStyle name="20% - Accent2 12 4" xfId="1084"/>
    <cellStyle name="20% - Accent2 12 4 2" xfId="1525"/>
    <cellStyle name="20% - Accent2 12 5" xfId="1366"/>
    <cellStyle name="20% - Accent2 12 6" xfId="925"/>
    <cellStyle name="20% - Accent2 12 7" xfId="1845"/>
    <cellStyle name="20% - Accent2 13" xfId="740"/>
    <cellStyle name="20% - Accent2 13 2" xfId="883"/>
    <cellStyle name="20% - Accent2 13 2 2" xfId="1203"/>
    <cellStyle name="20% - Accent2 13 2 2 2" xfId="1644"/>
    <cellStyle name="20% - Accent2 13 2 3" xfId="1485"/>
    <cellStyle name="20% - Accent2 13 2 4" xfId="1044"/>
    <cellStyle name="20% - Accent2 13 2 5" xfId="1964"/>
    <cellStyle name="20% - Accent2 13 3" xfId="1139"/>
    <cellStyle name="20% - Accent2 13 3 2" xfId="1580"/>
    <cellStyle name="20% - Accent2 13 4" xfId="1421"/>
    <cellStyle name="20% - Accent2 13 5" xfId="980"/>
    <cellStyle name="20% - Accent2 13 6" xfId="1900"/>
    <cellStyle name="20% - Accent2 14" xfId="753"/>
    <cellStyle name="20% - Accent2 14 2" xfId="1152"/>
    <cellStyle name="20% - Accent2 14 2 2" xfId="1593"/>
    <cellStyle name="20% - Accent2 14 3" xfId="1434"/>
    <cellStyle name="20% - Accent2 14 4" xfId="993"/>
    <cellStyle name="20% - Accent2 14 5" xfId="1913"/>
    <cellStyle name="20% - Accent2 15" xfId="69"/>
    <cellStyle name="20% - Accent2 15 2" xfId="1657"/>
    <cellStyle name="20% - Accent2 15 3" xfId="1216"/>
    <cellStyle name="20% - Accent2 16" xfId="1228"/>
    <cellStyle name="20% - Accent2 16 2" xfId="1668"/>
    <cellStyle name="20% - Accent2 17" xfId="1243"/>
    <cellStyle name="20% - Accent2 17 2" xfId="1683"/>
    <cellStyle name="20% - Accent2 18" xfId="1258"/>
    <cellStyle name="20% - Accent2 18 2" xfId="1696"/>
    <cellStyle name="20% - Accent2 19" xfId="1271"/>
    <cellStyle name="20% - Accent2 19 2" xfId="1709"/>
    <cellStyle name="20% - Accent2 2" xfId="71"/>
    <cellStyle name="20% - Accent2 20" xfId="1284"/>
    <cellStyle name="20% - Accent2 20 2" xfId="1722"/>
    <cellStyle name="20% - Accent2 21" xfId="1297"/>
    <cellStyle name="20% - Accent2 21 2" xfId="1735"/>
    <cellStyle name="20% - Accent2 22" xfId="1311"/>
    <cellStyle name="20% - Accent2 22 2" xfId="1749"/>
    <cellStyle name="20% - Accent2 23" xfId="1324"/>
    <cellStyle name="20% - Accent2 23 2" xfId="1762"/>
    <cellStyle name="20% - Accent2 24" xfId="1776"/>
    <cellStyle name="20% - Accent2 25" xfId="1791"/>
    <cellStyle name="20% - Accent2 26" xfId="1805"/>
    <cellStyle name="20% - Accent2 3" xfId="72"/>
    <cellStyle name="20% - Accent2 4" xfId="73"/>
    <cellStyle name="20% - Accent2 5" xfId="74"/>
    <cellStyle name="20% - Accent2 6" xfId="75"/>
    <cellStyle name="20% - Accent2 7" xfId="76"/>
    <cellStyle name="20% - Accent2 8" xfId="77"/>
    <cellStyle name="20% - Accent2 9" xfId="78"/>
    <cellStyle name="20% - Accent3 10" xfId="80"/>
    <cellStyle name="20% - Accent3 10 2" xfId="618"/>
    <cellStyle name="20% - Accent3 10 2 2" xfId="1096"/>
    <cellStyle name="20% - Accent3 10 2 2 2" xfId="1537"/>
    <cellStyle name="20% - Accent3 10 2 3" xfId="1378"/>
    <cellStyle name="20% - Accent3 10 2 4" xfId="937"/>
    <cellStyle name="20% - Accent3 10 2 5" xfId="1857"/>
    <cellStyle name="20% - Accent3 10 3" xfId="643"/>
    <cellStyle name="20% - Accent3 10 3 2" xfId="1107"/>
    <cellStyle name="20% - Accent3 10 3 2 2" xfId="1548"/>
    <cellStyle name="20% - Accent3 10 3 3" xfId="1389"/>
    <cellStyle name="20% - Accent3 10 3 4" xfId="948"/>
    <cellStyle name="20% - Accent3 10 3 5" xfId="1868"/>
    <cellStyle name="20% - Accent3 10 4" xfId="1056"/>
    <cellStyle name="20% - Accent3 10 4 2" xfId="1497"/>
    <cellStyle name="20% - Accent3 10 5" xfId="1338"/>
    <cellStyle name="20% - Accent3 10 6" xfId="897"/>
    <cellStyle name="20% - Accent3 10 7" xfId="1817"/>
    <cellStyle name="20% - Accent3 11" xfId="595"/>
    <cellStyle name="20% - Accent3 11 2" xfId="716"/>
    <cellStyle name="20% - Accent3 11 2 2" xfId="1115"/>
    <cellStyle name="20% - Accent3 11 2 2 2" xfId="1556"/>
    <cellStyle name="20% - Accent3 11 2 3" xfId="1397"/>
    <cellStyle name="20% - Accent3 11 2 4" xfId="956"/>
    <cellStyle name="20% - Accent3 11 2 5" xfId="1876"/>
    <cellStyle name="20% - Accent3 11 3" xfId="859"/>
    <cellStyle name="20% - Accent3 11 3 2" xfId="1179"/>
    <cellStyle name="20% - Accent3 11 3 2 2" xfId="1620"/>
    <cellStyle name="20% - Accent3 11 3 3" xfId="1461"/>
    <cellStyle name="20% - Accent3 11 3 4" xfId="1020"/>
    <cellStyle name="20% - Accent3 11 3 5" xfId="1940"/>
    <cellStyle name="20% - Accent3 11 4" xfId="1073"/>
    <cellStyle name="20% - Accent3 11 4 2" xfId="1514"/>
    <cellStyle name="20% - Accent3 11 5" xfId="1355"/>
    <cellStyle name="20% - Accent3 11 6" xfId="914"/>
    <cellStyle name="20% - Accent3 11 7" xfId="1834"/>
    <cellStyle name="20% - Accent3 12" xfId="608"/>
    <cellStyle name="20% - Accent3 12 2" xfId="729"/>
    <cellStyle name="20% - Accent3 12 2 2" xfId="1128"/>
    <cellStyle name="20% - Accent3 12 2 2 2" xfId="1569"/>
    <cellStyle name="20% - Accent3 12 2 3" xfId="1410"/>
    <cellStyle name="20% - Accent3 12 2 4" xfId="969"/>
    <cellStyle name="20% - Accent3 12 2 5" xfId="1889"/>
    <cellStyle name="20% - Accent3 12 3" xfId="872"/>
    <cellStyle name="20% - Accent3 12 3 2" xfId="1192"/>
    <cellStyle name="20% - Accent3 12 3 2 2" xfId="1633"/>
    <cellStyle name="20% - Accent3 12 3 3" xfId="1474"/>
    <cellStyle name="20% - Accent3 12 3 4" xfId="1033"/>
    <cellStyle name="20% - Accent3 12 3 5" xfId="1953"/>
    <cellStyle name="20% - Accent3 12 4" xfId="1086"/>
    <cellStyle name="20% - Accent3 12 4 2" xfId="1527"/>
    <cellStyle name="20% - Accent3 12 5" xfId="1368"/>
    <cellStyle name="20% - Accent3 12 6" xfId="927"/>
    <cellStyle name="20% - Accent3 12 7" xfId="1847"/>
    <cellStyle name="20% - Accent3 13" xfId="742"/>
    <cellStyle name="20% - Accent3 13 2" xfId="885"/>
    <cellStyle name="20% - Accent3 13 2 2" xfId="1205"/>
    <cellStyle name="20% - Accent3 13 2 2 2" xfId="1646"/>
    <cellStyle name="20% - Accent3 13 2 3" xfId="1487"/>
    <cellStyle name="20% - Accent3 13 2 4" xfId="1046"/>
    <cellStyle name="20% - Accent3 13 2 5" xfId="1966"/>
    <cellStyle name="20% - Accent3 13 3" xfId="1141"/>
    <cellStyle name="20% - Accent3 13 3 2" xfId="1582"/>
    <cellStyle name="20% - Accent3 13 4" xfId="1423"/>
    <cellStyle name="20% - Accent3 13 5" xfId="982"/>
    <cellStyle name="20% - Accent3 13 6" xfId="1902"/>
    <cellStyle name="20% - Accent3 14" xfId="755"/>
    <cellStyle name="20% - Accent3 14 2" xfId="1154"/>
    <cellStyle name="20% - Accent3 14 2 2" xfId="1595"/>
    <cellStyle name="20% - Accent3 14 3" xfId="1436"/>
    <cellStyle name="20% - Accent3 14 4" xfId="995"/>
    <cellStyle name="20% - Accent3 14 5" xfId="1915"/>
    <cellStyle name="20% - Accent3 15" xfId="79"/>
    <cellStyle name="20% - Accent3 15 2" xfId="1659"/>
    <cellStyle name="20% - Accent3 15 3" xfId="1218"/>
    <cellStyle name="20% - Accent3 16" xfId="1229"/>
    <cellStyle name="20% - Accent3 16 2" xfId="1669"/>
    <cellStyle name="20% - Accent3 17" xfId="1245"/>
    <cellStyle name="20% - Accent3 17 2" xfId="1685"/>
    <cellStyle name="20% - Accent3 18" xfId="1260"/>
    <cellStyle name="20% - Accent3 18 2" xfId="1698"/>
    <cellStyle name="20% - Accent3 19" xfId="1273"/>
    <cellStyle name="20% - Accent3 19 2" xfId="1711"/>
    <cellStyle name="20% - Accent3 2" xfId="81"/>
    <cellStyle name="20% - Accent3 20" xfId="1286"/>
    <cellStyle name="20% - Accent3 20 2" xfId="1724"/>
    <cellStyle name="20% - Accent3 21" xfId="1299"/>
    <cellStyle name="20% - Accent3 21 2" xfId="1737"/>
    <cellStyle name="20% - Accent3 22" xfId="1313"/>
    <cellStyle name="20% - Accent3 22 2" xfId="1751"/>
    <cellStyle name="20% - Accent3 23" xfId="1326"/>
    <cellStyle name="20% - Accent3 23 2" xfId="1764"/>
    <cellStyle name="20% - Accent3 24" xfId="1778"/>
    <cellStyle name="20% - Accent3 25" xfId="1793"/>
    <cellStyle name="20% - Accent3 26" xfId="1807"/>
    <cellStyle name="20% - Accent3 3" xfId="82"/>
    <cellStyle name="20% - Accent3 4" xfId="83"/>
    <cellStyle name="20% - Accent3 5" xfId="84"/>
    <cellStyle name="20% - Accent3 6" xfId="85"/>
    <cellStyle name="20% - Accent3 7" xfId="86"/>
    <cellStyle name="20% - Accent3 8" xfId="87"/>
    <cellStyle name="20% - Accent3 9" xfId="88"/>
    <cellStyle name="20% - Accent4 10" xfId="90"/>
    <cellStyle name="20% - Accent4 10 2" xfId="619"/>
    <cellStyle name="20% - Accent4 10 2 2" xfId="1097"/>
    <cellStyle name="20% - Accent4 10 2 2 2" xfId="1538"/>
    <cellStyle name="20% - Accent4 10 2 3" xfId="1379"/>
    <cellStyle name="20% - Accent4 10 2 4" xfId="938"/>
    <cellStyle name="20% - Accent4 10 2 5" xfId="1858"/>
    <cellStyle name="20% - Accent4 10 3" xfId="764"/>
    <cellStyle name="20% - Accent4 10 3 2" xfId="1163"/>
    <cellStyle name="20% - Accent4 10 3 2 2" xfId="1604"/>
    <cellStyle name="20% - Accent4 10 3 3" xfId="1445"/>
    <cellStyle name="20% - Accent4 10 3 4" xfId="1004"/>
    <cellStyle name="20% - Accent4 10 3 5" xfId="1924"/>
    <cellStyle name="20% - Accent4 10 4" xfId="1057"/>
    <cellStyle name="20% - Accent4 10 4 2" xfId="1498"/>
    <cellStyle name="20% - Accent4 10 5" xfId="1339"/>
    <cellStyle name="20% - Accent4 10 6" xfId="898"/>
    <cellStyle name="20% - Accent4 10 7" xfId="1818"/>
    <cellStyle name="20% - Accent4 11" xfId="597"/>
    <cellStyle name="20% - Accent4 11 2" xfId="718"/>
    <cellStyle name="20% - Accent4 11 2 2" xfId="1117"/>
    <cellStyle name="20% - Accent4 11 2 2 2" xfId="1558"/>
    <cellStyle name="20% - Accent4 11 2 3" xfId="1399"/>
    <cellStyle name="20% - Accent4 11 2 4" xfId="958"/>
    <cellStyle name="20% - Accent4 11 2 5" xfId="1878"/>
    <cellStyle name="20% - Accent4 11 3" xfId="861"/>
    <cellStyle name="20% - Accent4 11 3 2" xfId="1181"/>
    <cellStyle name="20% - Accent4 11 3 2 2" xfId="1622"/>
    <cellStyle name="20% - Accent4 11 3 3" xfId="1463"/>
    <cellStyle name="20% - Accent4 11 3 4" xfId="1022"/>
    <cellStyle name="20% - Accent4 11 3 5" xfId="1942"/>
    <cellStyle name="20% - Accent4 11 4" xfId="1075"/>
    <cellStyle name="20% - Accent4 11 4 2" xfId="1516"/>
    <cellStyle name="20% - Accent4 11 5" xfId="1357"/>
    <cellStyle name="20% - Accent4 11 6" xfId="916"/>
    <cellStyle name="20% - Accent4 11 7" xfId="1836"/>
    <cellStyle name="20% - Accent4 12" xfId="610"/>
    <cellStyle name="20% - Accent4 12 2" xfId="731"/>
    <cellStyle name="20% - Accent4 12 2 2" xfId="1130"/>
    <cellStyle name="20% - Accent4 12 2 2 2" xfId="1571"/>
    <cellStyle name="20% - Accent4 12 2 3" xfId="1412"/>
    <cellStyle name="20% - Accent4 12 2 4" xfId="971"/>
    <cellStyle name="20% - Accent4 12 2 5" xfId="1891"/>
    <cellStyle name="20% - Accent4 12 3" xfId="874"/>
    <cellStyle name="20% - Accent4 12 3 2" xfId="1194"/>
    <cellStyle name="20% - Accent4 12 3 2 2" xfId="1635"/>
    <cellStyle name="20% - Accent4 12 3 3" xfId="1476"/>
    <cellStyle name="20% - Accent4 12 3 4" xfId="1035"/>
    <cellStyle name="20% - Accent4 12 3 5" xfId="1955"/>
    <cellStyle name="20% - Accent4 12 4" xfId="1088"/>
    <cellStyle name="20% - Accent4 12 4 2" xfId="1529"/>
    <cellStyle name="20% - Accent4 12 5" xfId="1370"/>
    <cellStyle name="20% - Accent4 12 6" xfId="929"/>
    <cellStyle name="20% - Accent4 12 7" xfId="1849"/>
    <cellStyle name="20% - Accent4 13" xfId="744"/>
    <cellStyle name="20% - Accent4 13 2" xfId="887"/>
    <cellStyle name="20% - Accent4 13 2 2" xfId="1207"/>
    <cellStyle name="20% - Accent4 13 2 2 2" xfId="1648"/>
    <cellStyle name="20% - Accent4 13 2 3" xfId="1489"/>
    <cellStyle name="20% - Accent4 13 2 4" xfId="1048"/>
    <cellStyle name="20% - Accent4 13 2 5" xfId="1968"/>
    <cellStyle name="20% - Accent4 13 3" xfId="1143"/>
    <cellStyle name="20% - Accent4 13 3 2" xfId="1584"/>
    <cellStyle name="20% - Accent4 13 4" xfId="1425"/>
    <cellStyle name="20% - Accent4 13 5" xfId="984"/>
    <cellStyle name="20% - Accent4 13 6" xfId="1904"/>
    <cellStyle name="20% - Accent4 14" xfId="757"/>
    <cellStyle name="20% - Accent4 14 2" xfId="1156"/>
    <cellStyle name="20% - Accent4 14 2 2" xfId="1597"/>
    <cellStyle name="20% - Accent4 14 3" xfId="1438"/>
    <cellStyle name="20% - Accent4 14 4" xfId="997"/>
    <cellStyle name="20% - Accent4 14 5" xfId="1917"/>
    <cellStyle name="20% - Accent4 15" xfId="89"/>
    <cellStyle name="20% - Accent4 15 2" xfId="1661"/>
    <cellStyle name="20% - Accent4 15 3" xfId="1220"/>
    <cellStyle name="20% - Accent4 16" xfId="1230"/>
    <cellStyle name="20% - Accent4 16 2" xfId="1670"/>
    <cellStyle name="20% - Accent4 17" xfId="1247"/>
    <cellStyle name="20% - Accent4 17 2" xfId="1687"/>
    <cellStyle name="20% - Accent4 18" xfId="1262"/>
    <cellStyle name="20% - Accent4 18 2" xfId="1700"/>
    <cellStyle name="20% - Accent4 19" xfId="1275"/>
    <cellStyle name="20% - Accent4 19 2" xfId="1713"/>
    <cellStyle name="20% - Accent4 2" xfId="91"/>
    <cellStyle name="20% - Accent4 20" xfId="1288"/>
    <cellStyle name="20% - Accent4 20 2" xfId="1726"/>
    <cellStyle name="20% - Accent4 21" xfId="1301"/>
    <cellStyle name="20% - Accent4 21 2" xfId="1739"/>
    <cellStyle name="20% - Accent4 22" xfId="1315"/>
    <cellStyle name="20% - Accent4 22 2" xfId="1753"/>
    <cellStyle name="20% - Accent4 23" xfId="1328"/>
    <cellStyle name="20% - Accent4 23 2" xfId="1766"/>
    <cellStyle name="20% - Accent4 24" xfId="1780"/>
    <cellStyle name="20% - Accent4 25" xfId="1795"/>
    <cellStyle name="20% - Accent4 26" xfId="1809"/>
    <cellStyle name="20% - Accent4 3" xfId="92"/>
    <cellStyle name="20% - Accent4 4" xfId="93"/>
    <cellStyle name="20% - Accent4 5" xfId="94"/>
    <cellStyle name="20% - Accent4 6" xfId="95"/>
    <cellStyle name="20% - Accent4 7" xfId="96"/>
    <cellStyle name="20% - Accent4 8" xfId="97"/>
    <cellStyle name="20% - Accent4 9" xfId="98"/>
    <cellStyle name="20% - Accent5 10" xfId="100"/>
    <cellStyle name="20% - Accent5 10 2" xfId="620"/>
    <cellStyle name="20% - Accent5 10 2 2" xfId="1098"/>
    <cellStyle name="20% - Accent5 10 2 2 2" xfId="1539"/>
    <cellStyle name="20% - Accent5 10 2 3" xfId="1380"/>
    <cellStyle name="20% - Accent5 10 2 4" xfId="939"/>
    <cellStyle name="20% - Accent5 10 2 5" xfId="1859"/>
    <cellStyle name="20% - Accent5 10 3" xfId="765"/>
    <cellStyle name="20% - Accent5 10 3 2" xfId="1164"/>
    <cellStyle name="20% - Accent5 10 3 2 2" xfId="1605"/>
    <cellStyle name="20% - Accent5 10 3 3" xfId="1446"/>
    <cellStyle name="20% - Accent5 10 3 4" xfId="1005"/>
    <cellStyle name="20% - Accent5 10 3 5" xfId="1925"/>
    <cellStyle name="20% - Accent5 10 4" xfId="1058"/>
    <cellStyle name="20% - Accent5 10 4 2" xfId="1499"/>
    <cellStyle name="20% - Accent5 10 5" xfId="1340"/>
    <cellStyle name="20% - Accent5 10 6" xfId="899"/>
    <cellStyle name="20% - Accent5 10 7" xfId="1819"/>
    <cellStyle name="20% - Accent5 11" xfId="599"/>
    <cellStyle name="20% - Accent5 11 2" xfId="720"/>
    <cellStyle name="20% - Accent5 11 2 2" xfId="1119"/>
    <cellStyle name="20% - Accent5 11 2 2 2" xfId="1560"/>
    <cellStyle name="20% - Accent5 11 2 3" xfId="1401"/>
    <cellStyle name="20% - Accent5 11 2 4" xfId="960"/>
    <cellStyle name="20% - Accent5 11 2 5" xfId="1880"/>
    <cellStyle name="20% - Accent5 11 3" xfId="863"/>
    <cellStyle name="20% - Accent5 11 3 2" xfId="1183"/>
    <cellStyle name="20% - Accent5 11 3 2 2" xfId="1624"/>
    <cellStyle name="20% - Accent5 11 3 3" xfId="1465"/>
    <cellStyle name="20% - Accent5 11 3 4" xfId="1024"/>
    <cellStyle name="20% - Accent5 11 3 5" xfId="1944"/>
    <cellStyle name="20% - Accent5 11 4" xfId="1077"/>
    <cellStyle name="20% - Accent5 11 4 2" xfId="1518"/>
    <cellStyle name="20% - Accent5 11 5" xfId="1359"/>
    <cellStyle name="20% - Accent5 11 6" xfId="918"/>
    <cellStyle name="20% - Accent5 11 7" xfId="1838"/>
    <cellStyle name="20% - Accent5 12" xfId="612"/>
    <cellStyle name="20% - Accent5 12 2" xfId="733"/>
    <cellStyle name="20% - Accent5 12 2 2" xfId="1132"/>
    <cellStyle name="20% - Accent5 12 2 2 2" xfId="1573"/>
    <cellStyle name="20% - Accent5 12 2 3" xfId="1414"/>
    <cellStyle name="20% - Accent5 12 2 4" xfId="973"/>
    <cellStyle name="20% - Accent5 12 2 5" xfId="1893"/>
    <cellStyle name="20% - Accent5 12 3" xfId="876"/>
    <cellStyle name="20% - Accent5 12 3 2" xfId="1196"/>
    <cellStyle name="20% - Accent5 12 3 2 2" xfId="1637"/>
    <cellStyle name="20% - Accent5 12 3 3" xfId="1478"/>
    <cellStyle name="20% - Accent5 12 3 4" xfId="1037"/>
    <cellStyle name="20% - Accent5 12 3 5" xfId="1957"/>
    <cellStyle name="20% - Accent5 12 4" xfId="1090"/>
    <cellStyle name="20% - Accent5 12 4 2" xfId="1531"/>
    <cellStyle name="20% - Accent5 12 5" xfId="1372"/>
    <cellStyle name="20% - Accent5 12 6" xfId="931"/>
    <cellStyle name="20% - Accent5 12 7" xfId="1851"/>
    <cellStyle name="20% - Accent5 13" xfId="746"/>
    <cellStyle name="20% - Accent5 13 2" xfId="889"/>
    <cellStyle name="20% - Accent5 13 2 2" xfId="1209"/>
    <cellStyle name="20% - Accent5 13 2 2 2" xfId="1650"/>
    <cellStyle name="20% - Accent5 13 2 3" xfId="1491"/>
    <cellStyle name="20% - Accent5 13 2 4" xfId="1050"/>
    <cellStyle name="20% - Accent5 13 2 5" xfId="1970"/>
    <cellStyle name="20% - Accent5 13 3" xfId="1145"/>
    <cellStyle name="20% - Accent5 13 3 2" xfId="1586"/>
    <cellStyle name="20% - Accent5 13 4" xfId="1427"/>
    <cellStyle name="20% - Accent5 13 5" xfId="986"/>
    <cellStyle name="20% - Accent5 13 6" xfId="1906"/>
    <cellStyle name="20% - Accent5 14" xfId="759"/>
    <cellStyle name="20% - Accent5 14 2" xfId="1158"/>
    <cellStyle name="20% - Accent5 14 2 2" xfId="1599"/>
    <cellStyle name="20% - Accent5 14 3" xfId="1440"/>
    <cellStyle name="20% - Accent5 14 4" xfId="999"/>
    <cellStyle name="20% - Accent5 14 5" xfId="1919"/>
    <cellStyle name="20% - Accent5 15" xfId="99"/>
    <cellStyle name="20% - Accent5 15 2" xfId="1663"/>
    <cellStyle name="20% - Accent5 15 3" xfId="1222"/>
    <cellStyle name="20% - Accent5 16" xfId="1231"/>
    <cellStyle name="20% - Accent5 16 2" xfId="1671"/>
    <cellStyle name="20% - Accent5 17" xfId="1249"/>
    <cellStyle name="20% - Accent5 17 2" xfId="1689"/>
    <cellStyle name="20% - Accent5 18" xfId="1264"/>
    <cellStyle name="20% - Accent5 18 2" xfId="1702"/>
    <cellStyle name="20% - Accent5 19" xfId="1277"/>
    <cellStyle name="20% - Accent5 19 2" xfId="1715"/>
    <cellStyle name="20% - Accent5 2" xfId="101"/>
    <cellStyle name="20% - Accent5 20" xfId="1290"/>
    <cellStyle name="20% - Accent5 20 2" xfId="1728"/>
    <cellStyle name="20% - Accent5 21" xfId="1303"/>
    <cellStyle name="20% - Accent5 21 2" xfId="1741"/>
    <cellStyle name="20% - Accent5 22" xfId="1317"/>
    <cellStyle name="20% - Accent5 22 2" xfId="1755"/>
    <cellStyle name="20% - Accent5 23" xfId="1330"/>
    <cellStyle name="20% - Accent5 23 2" xfId="1768"/>
    <cellStyle name="20% - Accent5 24" xfId="1782"/>
    <cellStyle name="20% - Accent5 25" xfId="1797"/>
    <cellStyle name="20% - Accent5 26" xfId="1811"/>
    <cellStyle name="20% - Accent5 3" xfId="102"/>
    <cellStyle name="20% - Accent5 4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10"/>
    <cellStyle name="20% - Accent6 10 2" xfId="621"/>
    <cellStyle name="20% - Accent6 10 2 2" xfId="1099"/>
    <cellStyle name="20% - Accent6 10 2 2 2" xfId="1540"/>
    <cellStyle name="20% - Accent6 10 2 3" xfId="1381"/>
    <cellStyle name="20% - Accent6 10 2 4" xfId="940"/>
    <cellStyle name="20% - Accent6 10 2 5" xfId="1860"/>
    <cellStyle name="20% - Accent6 10 3" xfId="766"/>
    <cellStyle name="20% - Accent6 10 3 2" xfId="1165"/>
    <cellStyle name="20% - Accent6 10 3 2 2" xfId="1606"/>
    <cellStyle name="20% - Accent6 10 3 3" xfId="1447"/>
    <cellStyle name="20% - Accent6 10 3 4" xfId="1006"/>
    <cellStyle name="20% - Accent6 10 3 5" xfId="1926"/>
    <cellStyle name="20% - Accent6 10 4" xfId="1059"/>
    <cellStyle name="20% - Accent6 10 4 2" xfId="1500"/>
    <cellStyle name="20% - Accent6 10 5" xfId="1341"/>
    <cellStyle name="20% - Accent6 10 6" xfId="900"/>
    <cellStyle name="20% - Accent6 10 7" xfId="1820"/>
    <cellStyle name="20% - Accent6 11" xfId="601"/>
    <cellStyle name="20% - Accent6 11 2" xfId="722"/>
    <cellStyle name="20% - Accent6 11 2 2" xfId="1121"/>
    <cellStyle name="20% - Accent6 11 2 2 2" xfId="1562"/>
    <cellStyle name="20% - Accent6 11 2 3" xfId="1403"/>
    <cellStyle name="20% - Accent6 11 2 4" xfId="962"/>
    <cellStyle name="20% - Accent6 11 2 5" xfId="1882"/>
    <cellStyle name="20% - Accent6 11 3" xfId="865"/>
    <cellStyle name="20% - Accent6 11 3 2" xfId="1185"/>
    <cellStyle name="20% - Accent6 11 3 2 2" xfId="1626"/>
    <cellStyle name="20% - Accent6 11 3 3" xfId="1467"/>
    <cellStyle name="20% - Accent6 11 3 4" xfId="1026"/>
    <cellStyle name="20% - Accent6 11 3 5" xfId="1946"/>
    <cellStyle name="20% - Accent6 11 4" xfId="1079"/>
    <cellStyle name="20% - Accent6 11 4 2" xfId="1520"/>
    <cellStyle name="20% - Accent6 11 5" xfId="1361"/>
    <cellStyle name="20% - Accent6 11 6" xfId="920"/>
    <cellStyle name="20% - Accent6 11 7" xfId="1840"/>
    <cellStyle name="20% - Accent6 12" xfId="614"/>
    <cellStyle name="20% - Accent6 12 2" xfId="735"/>
    <cellStyle name="20% - Accent6 12 2 2" xfId="1134"/>
    <cellStyle name="20% - Accent6 12 2 2 2" xfId="1575"/>
    <cellStyle name="20% - Accent6 12 2 3" xfId="1416"/>
    <cellStyle name="20% - Accent6 12 2 4" xfId="975"/>
    <cellStyle name="20% - Accent6 12 2 5" xfId="1895"/>
    <cellStyle name="20% - Accent6 12 3" xfId="878"/>
    <cellStyle name="20% - Accent6 12 3 2" xfId="1198"/>
    <cellStyle name="20% - Accent6 12 3 2 2" xfId="1639"/>
    <cellStyle name="20% - Accent6 12 3 3" xfId="1480"/>
    <cellStyle name="20% - Accent6 12 3 4" xfId="1039"/>
    <cellStyle name="20% - Accent6 12 3 5" xfId="1959"/>
    <cellStyle name="20% - Accent6 12 4" xfId="1092"/>
    <cellStyle name="20% - Accent6 12 4 2" xfId="1533"/>
    <cellStyle name="20% - Accent6 12 5" xfId="1374"/>
    <cellStyle name="20% - Accent6 12 6" xfId="933"/>
    <cellStyle name="20% - Accent6 12 7" xfId="1853"/>
    <cellStyle name="20% - Accent6 13" xfId="748"/>
    <cellStyle name="20% - Accent6 13 2" xfId="891"/>
    <cellStyle name="20% - Accent6 13 2 2" xfId="1211"/>
    <cellStyle name="20% - Accent6 13 2 2 2" xfId="1652"/>
    <cellStyle name="20% - Accent6 13 2 3" xfId="1493"/>
    <cellStyle name="20% - Accent6 13 2 4" xfId="1052"/>
    <cellStyle name="20% - Accent6 13 2 5" xfId="1972"/>
    <cellStyle name="20% - Accent6 13 3" xfId="1147"/>
    <cellStyle name="20% - Accent6 13 3 2" xfId="1588"/>
    <cellStyle name="20% - Accent6 13 4" xfId="1429"/>
    <cellStyle name="20% - Accent6 13 5" xfId="988"/>
    <cellStyle name="20% - Accent6 13 6" xfId="1908"/>
    <cellStyle name="20% - Accent6 14" xfId="761"/>
    <cellStyle name="20% - Accent6 14 2" xfId="1160"/>
    <cellStyle name="20% - Accent6 14 2 2" xfId="1601"/>
    <cellStyle name="20% - Accent6 14 3" xfId="1442"/>
    <cellStyle name="20% - Accent6 14 4" xfId="1001"/>
    <cellStyle name="20% - Accent6 14 5" xfId="1921"/>
    <cellStyle name="20% - Accent6 15" xfId="109"/>
    <cellStyle name="20% - Accent6 15 2" xfId="1665"/>
    <cellStyle name="20% - Accent6 15 3" xfId="1224"/>
    <cellStyle name="20% - Accent6 16" xfId="1232"/>
    <cellStyle name="20% - Accent6 16 2" xfId="1672"/>
    <cellStyle name="20% - Accent6 17" xfId="1251"/>
    <cellStyle name="20% - Accent6 17 2" xfId="1691"/>
    <cellStyle name="20% - Accent6 18" xfId="1266"/>
    <cellStyle name="20% - Accent6 18 2" xfId="1704"/>
    <cellStyle name="20% - Accent6 19" xfId="1279"/>
    <cellStyle name="20% - Accent6 19 2" xfId="1717"/>
    <cellStyle name="20% - Accent6 2" xfId="111"/>
    <cellStyle name="20% - Accent6 20" xfId="1292"/>
    <cellStyle name="20% - Accent6 20 2" xfId="1730"/>
    <cellStyle name="20% - Accent6 21" xfId="1305"/>
    <cellStyle name="20% - Accent6 21 2" xfId="1743"/>
    <cellStyle name="20% - Accent6 22" xfId="1319"/>
    <cellStyle name="20% - Accent6 22 2" xfId="1757"/>
    <cellStyle name="20% - Accent6 23" xfId="1332"/>
    <cellStyle name="20% - Accent6 23 2" xfId="1770"/>
    <cellStyle name="20% - Accent6 24" xfId="1784"/>
    <cellStyle name="20% - Accent6 25" xfId="1799"/>
    <cellStyle name="20% - Accent6 26" xfId="1813"/>
    <cellStyle name="20% - Accent6 3" xfId="112"/>
    <cellStyle name="20% - Accent6 4" xfId="113"/>
    <cellStyle name="20% - Accent6 5" xfId="114"/>
    <cellStyle name="20% - Accent6 6" xfId="115"/>
    <cellStyle name="20% - Accent6 7" xfId="116"/>
    <cellStyle name="20% - Accent6 8" xfId="117"/>
    <cellStyle name="20% - Accent6 9" xfId="118"/>
    <cellStyle name="40% - Accent1 10" xfId="120"/>
    <cellStyle name="40% - Accent1 10 2" xfId="622"/>
    <cellStyle name="40% - Accent1 10 2 2" xfId="1100"/>
    <cellStyle name="40% - Accent1 10 2 2 2" xfId="1541"/>
    <cellStyle name="40% - Accent1 10 2 3" xfId="1382"/>
    <cellStyle name="40% - Accent1 10 2 4" xfId="941"/>
    <cellStyle name="40% - Accent1 10 2 5" xfId="1861"/>
    <cellStyle name="40% - Accent1 10 3" xfId="767"/>
    <cellStyle name="40% - Accent1 10 3 2" xfId="1166"/>
    <cellStyle name="40% - Accent1 10 3 2 2" xfId="1607"/>
    <cellStyle name="40% - Accent1 10 3 3" xfId="1448"/>
    <cellStyle name="40% - Accent1 10 3 4" xfId="1007"/>
    <cellStyle name="40% - Accent1 10 3 5" xfId="1927"/>
    <cellStyle name="40% - Accent1 10 4" xfId="1060"/>
    <cellStyle name="40% - Accent1 10 4 2" xfId="1501"/>
    <cellStyle name="40% - Accent1 10 5" xfId="1342"/>
    <cellStyle name="40% - Accent1 10 6" xfId="901"/>
    <cellStyle name="40% - Accent1 10 7" xfId="1821"/>
    <cellStyle name="40% - Accent1 11" xfId="592"/>
    <cellStyle name="40% - Accent1 11 2" xfId="713"/>
    <cellStyle name="40% - Accent1 11 2 2" xfId="1112"/>
    <cellStyle name="40% - Accent1 11 2 2 2" xfId="1553"/>
    <cellStyle name="40% - Accent1 11 2 3" xfId="1394"/>
    <cellStyle name="40% - Accent1 11 2 4" xfId="953"/>
    <cellStyle name="40% - Accent1 11 2 5" xfId="1873"/>
    <cellStyle name="40% - Accent1 11 3" xfId="856"/>
    <cellStyle name="40% - Accent1 11 3 2" xfId="1176"/>
    <cellStyle name="40% - Accent1 11 3 2 2" xfId="1617"/>
    <cellStyle name="40% - Accent1 11 3 3" xfId="1458"/>
    <cellStyle name="40% - Accent1 11 3 4" xfId="1017"/>
    <cellStyle name="40% - Accent1 11 3 5" xfId="1937"/>
    <cellStyle name="40% - Accent1 11 4" xfId="1070"/>
    <cellStyle name="40% - Accent1 11 4 2" xfId="1511"/>
    <cellStyle name="40% - Accent1 11 5" xfId="1352"/>
    <cellStyle name="40% - Accent1 11 6" xfId="911"/>
    <cellStyle name="40% - Accent1 11 7" xfId="1831"/>
    <cellStyle name="40% - Accent1 12" xfId="605"/>
    <cellStyle name="40% - Accent1 12 2" xfId="726"/>
    <cellStyle name="40% - Accent1 12 2 2" xfId="1125"/>
    <cellStyle name="40% - Accent1 12 2 2 2" xfId="1566"/>
    <cellStyle name="40% - Accent1 12 2 3" xfId="1407"/>
    <cellStyle name="40% - Accent1 12 2 4" xfId="966"/>
    <cellStyle name="40% - Accent1 12 2 5" xfId="1886"/>
    <cellStyle name="40% - Accent1 12 3" xfId="869"/>
    <cellStyle name="40% - Accent1 12 3 2" xfId="1189"/>
    <cellStyle name="40% - Accent1 12 3 2 2" xfId="1630"/>
    <cellStyle name="40% - Accent1 12 3 3" xfId="1471"/>
    <cellStyle name="40% - Accent1 12 3 4" xfId="1030"/>
    <cellStyle name="40% - Accent1 12 3 5" xfId="1950"/>
    <cellStyle name="40% - Accent1 12 4" xfId="1083"/>
    <cellStyle name="40% - Accent1 12 4 2" xfId="1524"/>
    <cellStyle name="40% - Accent1 12 5" xfId="1365"/>
    <cellStyle name="40% - Accent1 12 6" xfId="924"/>
    <cellStyle name="40% - Accent1 12 7" xfId="1844"/>
    <cellStyle name="40% - Accent1 13" xfId="739"/>
    <cellStyle name="40% - Accent1 13 2" xfId="882"/>
    <cellStyle name="40% - Accent1 13 2 2" xfId="1202"/>
    <cellStyle name="40% - Accent1 13 2 2 2" xfId="1643"/>
    <cellStyle name="40% - Accent1 13 2 3" xfId="1484"/>
    <cellStyle name="40% - Accent1 13 2 4" xfId="1043"/>
    <cellStyle name="40% - Accent1 13 2 5" xfId="1963"/>
    <cellStyle name="40% - Accent1 13 3" xfId="1138"/>
    <cellStyle name="40% - Accent1 13 3 2" xfId="1579"/>
    <cellStyle name="40% - Accent1 13 4" xfId="1420"/>
    <cellStyle name="40% - Accent1 13 5" xfId="979"/>
    <cellStyle name="40% - Accent1 13 6" xfId="1899"/>
    <cellStyle name="40% - Accent1 14" xfId="752"/>
    <cellStyle name="40% - Accent1 14 2" xfId="1151"/>
    <cellStyle name="40% - Accent1 14 2 2" xfId="1592"/>
    <cellStyle name="40% - Accent1 14 3" xfId="1433"/>
    <cellStyle name="40% - Accent1 14 4" xfId="992"/>
    <cellStyle name="40% - Accent1 14 5" xfId="1912"/>
    <cellStyle name="40% - Accent1 15" xfId="119"/>
    <cellStyle name="40% - Accent1 15 2" xfId="1656"/>
    <cellStyle name="40% - Accent1 15 3" xfId="1215"/>
    <cellStyle name="40% - Accent1 16" xfId="1233"/>
    <cellStyle name="40% - Accent1 16 2" xfId="1673"/>
    <cellStyle name="40% - Accent1 17" xfId="1242"/>
    <cellStyle name="40% - Accent1 17 2" xfId="1682"/>
    <cellStyle name="40% - Accent1 18" xfId="1257"/>
    <cellStyle name="40% - Accent1 18 2" xfId="1695"/>
    <cellStyle name="40% - Accent1 19" xfId="1270"/>
    <cellStyle name="40% - Accent1 19 2" xfId="1708"/>
    <cellStyle name="40% - Accent1 2" xfId="121"/>
    <cellStyle name="40% - Accent1 20" xfId="1283"/>
    <cellStyle name="40% - Accent1 20 2" xfId="1721"/>
    <cellStyle name="40% - Accent1 21" xfId="1296"/>
    <cellStyle name="40% - Accent1 21 2" xfId="1734"/>
    <cellStyle name="40% - Accent1 22" xfId="1310"/>
    <cellStyle name="40% - Accent1 22 2" xfId="1748"/>
    <cellStyle name="40% - Accent1 23" xfId="1323"/>
    <cellStyle name="40% - Accent1 23 2" xfId="1761"/>
    <cellStyle name="40% - Accent1 24" xfId="1775"/>
    <cellStyle name="40% - Accent1 25" xfId="1790"/>
    <cellStyle name="40% - Accent1 26" xfId="1804"/>
    <cellStyle name="40% - Accent1 3" xfId="122"/>
    <cellStyle name="40% - Accent1 4" xfId="123"/>
    <cellStyle name="40% - Accent1 5" xfId="124"/>
    <cellStyle name="40% - Accent1 6" xfId="125"/>
    <cellStyle name="40% - Accent1 7" xfId="126"/>
    <cellStyle name="40% - Accent1 8" xfId="127"/>
    <cellStyle name="40% - Accent1 9" xfId="128"/>
    <cellStyle name="40% - Accent2 10" xfId="130"/>
    <cellStyle name="40% - Accent2 10 2" xfId="623"/>
    <cellStyle name="40% - Accent2 10 2 2" xfId="1101"/>
    <cellStyle name="40% - Accent2 10 2 2 2" xfId="1542"/>
    <cellStyle name="40% - Accent2 10 2 3" xfId="1383"/>
    <cellStyle name="40% - Accent2 10 2 4" xfId="942"/>
    <cellStyle name="40% - Accent2 10 2 5" xfId="1862"/>
    <cellStyle name="40% - Accent2 10 3" xfId="768"/>
    <cellStyle name="40% - Accent2 10 3 2" xfId="1167"/>
    <cellStyle name="40% - Accent2 10 3 2 2" xfId="1608"/>
    <cellStyle name="40% - Accent2 10 3 3" xfId="1449"/>
    <cellStyle name="40% - Accent2 10 3 4" xfId="1008"/>
    <cellStyle name="40% - Accent2 10 3 5" xfId="1928"/>
    <cellStyle name="40% - Accent2 10 4" xfId="1061"/>
    <cellStyle name="40% - Accent2 10 4 2" xfId="1502"/>
    <cellStyle name="40% - Accent2 10 5" xfId="1343"/>
    <cellStyle name="40% - Accent2 10 6" xfId="902"/>
    <cellStyle name="40% - Accent2 10 7" xfId="1822"/>
    <cellStyle name="40% - Accent2 11" xfId="594"/>
    <cellStyle name="40% - Accent2 11 2" xfId="715"/>
    <cellStyle name="40% - Accent2 11 2 2" xfId="1114"/>
    <cellStyle name="40% - Accent2 11 2 2 2" xfId="1555"/>
    <cellStyle name="40% - Accent2 11 2 3" xfId="1396"/>
    <cellStyle name="40% - Accent2 11 2 4" xfId="955"/>
    <cellStyle name="40% - Accent2 11 2 5" xfId="1875"/>
    <cellStyle name="40% - Accent2 11 3" xfId="858"/>
    <cellStyle name="40% - Accent2 11 3 2" xfId="1178"/>
    <cellStyle name="40% - Accent2 11 3 2 2" xfId="1619"/>
    <cellStyle name="40% - Accent2 11 3 3" xfId="1460"/>
    <cellStyle name="40% - Accent2 11 3 4" xfId="1019"/>
    <cellStyle name="40% - Accent2 11 3 5" xfId="1939"/>
    <cellStyle name="40% - Accent2 11 4" xfId="1072"/>
    <cellStyle name="40% - Accent2 11 4 2" xfId="1513"/>
    <cellStyle name="40% - Accent2 11 5" xfId="1354"/>
    <cellStyle name="40% - Accent2 11 6" xfId="913"/>
    <cellStyle name="40% - Accent2 11 7" xfId="1833"/>
    <cellStyle name="40% - Accent2 12" xfId="607"/>
    <cellStyle name="40% - Accent2 12 2" xfId="728"/>
    <cellStyle name="40% - Accent2 12 2 2" xfId="1127"/>
    <cellStyle name="40% - Accent2 12 2 2 2" xfId="1568"/>
    <cellStyle name="40% - Accent2 12 2 3" xfId="1409"/>
    <cellStyle name="40% - Accent2 12 2 4" xfId="968"/>
    <cellStyle name="40% - Accent2 12 2 5" xfId="1888"/>
    <cellStyle name="40% - Accent2 12 3" xfId="871"/>
    <cellStyle name="40% - Accent2 12 3 2" xfId="1191"/>
    <cellStyle name="40% - Accent2 12 3 2 2" xfId="1632"/>
    <cellStyle name="40% - Accent2 12 3 3" xfId="1473"/>
    <cellStyle name="40% - Accent2 12 3 4" xfId="1032"/>
    <cellStyle name="40% - Accent2 12 3 5" xfId="1952"/>
    <cellStyle name="40% - Accent2 12 4" xfId="1085"/>
    <cellStyle name="40% - Accent2 12 4 2" xfId="1526"/>
    <cellStyle name="40% - Accent2 12 5" xfId="1367"/>
    <cellStyle name="40% - Accent2 12 6" xfId="926"/>
    <cellStyle name="40% - Accent2 12 7" xfId="1846"/>
    <cellStyle name="40% - Accent2 13" xfId="741"/>
    <cellStyle name="40% - Accent2 13 2" xfId="884"/>
    <cellStyle name="40% - Accent2 13 2 2" xfId="1204"/>
    <cellStyle name="40% - Accent2 13 2 2 2" xfId="1645"/>
    <cellStyle name="40% - Accent2 13 2 3" xfId="1486"/>
    <cellStyle name="40% - Accent2 13 2 4" xfId="1045"/>
    <cellStyle name="40% - Accent2 13 2 5" xfId="1965"/>
    <cellStyle name="40% - Accent2 13 3" xfId="1140"/>
    <cellStyle name="40% - Accent2 13 3 2" xfId="1581"/>
    <cellStyle name="40% - Accent2 13 4" xfId="1422"/>
    <cellStyle name="40% - Accent2 13 5" xfId="981"/>
    <cellStyle name="40% - Accent2 13 6" xfId="1901"/>
    <cellStyle name="40% - Accent2 14" xfId="754"/>
    <cellStyle name="40% - Accent2 14 2" xfId="1153"/>
    <cellStyle name="40% - Accent2 14 2 2" xfId="1594"/>
    <cellStyle name="40% - Accent2 14 3" xfId="1435"/>
    <cellStyle name="40% - Accent2 14 4" xfId="994"/>
    <cellStyle name="40% - Accent2 14 5" xfId="1914"/>
    <cellStyle name="40% - Accent2 15" xfId="129"/>
    <cellStyle name="40% - Accent2 15 2" xfId="1658"/>
    <cellStyle name="40% - Accent2 15 3" xfId="1217"/>
    <cellStyle name="40% - Accent2 16" xfId="1234"/>
    <cellStyle name="40% - Accent2 16 2" xfId="1674"/>
    <cellStyle name="40% - Accent2 17" xfId="1244"/>
    <cellStyle name="40% - Accent2 17 2" xfId="1684"/>
    <cellStyle name="40% - Accent2 18" xfId="1259"/>
    <cellStyle name="40% - Accent2 18 2" xfId="1697"/>
    <cellStyle name="40% - Accent2 19" xfId="1272"/>
    <cellStyle name="40% - Accent2 19 2" xfId="1710"/>
    <cellStyle name="40% - Accent2 2" xfId="131"/>
    <cellStyle name="40% - Accent2 20" xfId="1285"/>
    <cellStyle name="40% - Accent2 20 2" xfId="1723"/>
    <cellStyle name="40% - Accent2 21" xfId="1298"/>
    <cellStyle name="40% - Accent2 21 2" xfId="1736"/>
    <cellStyle name="40% - Accent2 22" xfId="1312"/>
    <cellStyle name="40% - Accent2 22 2" xfId="1750"/>
    <cellStyle name="40% - Accent2 23" xfId="1325"/>
    <cellStyle name="40% - Accent2 23 2" xfId="1763"/>
    <cellStyle name="40% - Accent2 24" xfId="1777"/>
    <cellStyle name="40% - Accent2 25" xfId="1792"/>
    <cellStyle name="40% - Accent2 26" xfId="1806"/>
    <cellStyle name="40% - Accent2 3" xfId="132"/>
    <cellStyle name="40% - Accent2 4" xfId="133"/>
    <cellStyle name="40% - Accent2 5" xfId="134"/>
    <cellStyle name="40% - Accent2 6" xfId="135"/>
    <cellStyle name="40% - Accent2 7" xfId="136"/>
    <cellStyle name="40% - Accent2 8" xfId="137"/>
    <cellStyle name="40% - Accent2 9" xfId="138"/>
    <cellStyle name="40% - Accent3 10" xfId="140"/>
    <cellStyle name="40% - Accent3 10 2" xfId="624"/>
    <cellStyle name="40% - Accent3 10 2 2" xfId="1102"/>
    <cellStyle name="40% - Accent3 10 2 2 2" xfId="1543"/>
    <cellStyle name="40% - Accent3 10 2 3" xfId="1384"/>
    <cellStyle name="40% - Accent3 10 2 4" xfId="943"/>
    <cellStyle name="40% - Accent3 10 2 5" xfId="1863"/>
    <cellStyle name="40% - Accent3 10 3" xfId="769"/>
    <cellStyle name="40% - Accent3 10 3 2" xfId="1168"/>
    <cellStyle name="40% - Accent3 10 3 2 2" xfId="1609"/>
    <cellStyle name="40% - Accent3 10 3 3" xfId="1450"/>
    <cellStyle name="40% - Accent3 10 3 4" xfId="1009"/>
    <cellStyle name="40% - Accent3 10 3 5" xfId="1929"/>
    <cellStyle name="40% - Accent3 10 4" xfId="1062"/>
    <cellStyle name="40% - Accent3 10 4 2" xfId="1503"/>
    <cellStyle name="40% - Accent3 10 5" xfId="1344"/>
    <cellStyle name="40% - Accent3 10 6" xfId="903"/>
    <cellStyle name="40% - Accent3 10 7" xfId="1823"/>
    <cellStyle name="40% - Accent3 11" xfId="596"/>
    <cellStyle name="40% - Accent3 11 2" xfId="717"/>
    <cellStyle name="40% - Accent3 11 2 2" xfId="1116"/>
    <cellStyle name="40% - Accent3 11 2 2 2" xfId="1557"/>
    <cellStyle name="40% - Accent3 11 2 3" xfId="1398"/>
    <cellStyle name="40% - Accent3 11 2 4" xfId="957"/>
    <cellStyle name="40% - Accent3 11 2 5" xfId="1877"/>
    <cellStyle name="40% - Accent3 11 3" xfId="860"/>
    <cellStyle name="40% - Accent3 11 3 2" xfId="1180"/>
    <cellStyle name="40% - Accent3 11 3 2 2" xfId="1621"/>
    <cellStyle name="40% - Accent3 11 3 3" xfId="1462"/>
    <cellStyle name="40% - Accent3 11 3 4" xfId="1021"/>
    <cellStyle name="40% - Accent3 11 3 5" xfId="1941"/>
    <cellStyle name="40% - Accent3 11 4" xfId="1074"/>
    <cellStyle name="40% - Accent3 11 4 2" xfId="1515"/>
    <cellStyle name="40% - Accent3 11 5" xfId="1356"/>
    <cellStyle name="40% - Accent3 11 6" xfId="915"/>
    <cellStyle name="40% - Accent3 11 7" xfId="1835"/>
    <cellStyle name="40% - Accent3 12" xfId="609"/>
    <cellStyle name="40% - Accent3 12 2" xfId="730"/>
    <cellStyle name="40% - Accent3 12 2 2" xfId="1129"/>
    <cellStyle name="40% - Accent3 12 2 2 2" xfId="1570"/>
    <cellStyle name="40% - Accent3 12 2 3" xfId="1411"/>
    <cellStyle name="40% - Accent3 12 2 4" xfId="970"/>
    <cellStyle name="40% - Accent3 12 2 5" xfId="1890"/>
    <cellStyle name="40% - Accent3 12 3" xfId="873"/>
    <cellStyle name="40% - Accent3 12 3 2" xfId="1193"/>
    <cellStyle name="40% - Accent3 12 3 2 2" xfId="1634"/>
    <cellStyle name="40% - Accent3 12 3 3" xfId="1475"/>
    <cellStyle name="40% - Accent3 12 3 4" xfId="1034"/>
    <cellStyle name="40% - Accent3 12 3 5" xfId="1954"/>
    <cellStyle name="40% - Accent3 12 4" xfId="1087"/>
    <cellStyle name="40% - Accent3 12 4 2" xfId="1528"/>
    <cellStyle name="40% - Accent3 12 5" xfId="1369"/>
    <cellStyle name="40% - Accent3 12 6" xfId="928"/>
    <cellStyle name="40% - Accent3 12 7" xfId="1848"/>
    <cellStyle name="40% - Accent3 13" xfId="743"/>
    <cellStyle name="40% - Accent3 13 2" xfId="886"/>
    <cellStyle name="40% - Accent3 13 2 2" xfId="1206"/>
    <cellStyle name="40% - Accent3 13 2 2 2" xfId="1647"/>
    <cellStyle name="40% - Accent3 13 2 3" xfId="1488"/>
    <cellStyle name="40% - Accent3 13 2 4" xfId="1047"/>
    <cellStyle name="40% - Accent3 13 2 5" xfId="1967"/>
    <cellStyle name="40% - Accent3 13 3" xfId="1142"/>
    <cellStyle name="40% - Accent3 13 3 2" xfId="1583"/>
    <cellStyle name="40% - Accent3 13 4" xfId="1424"/>
    <cellStyle name="40% - Accent3 13 5" xfId="983"/>
    <cellStyle name="40% - Accent3 13 6" xfId="1903"/>
    <cellStyle name="40% - Accent3 14" xfId="756"/>
    <cellStyle name="40% - Accent3 14 2" xfId="1155"/>
    <cellStyle name="40% - Accent3 14 2 2" xfId="1596"/>
    <cellStyle name="40% - Accent3 14 3" xfId="1437"/>
    <cellStyle name="40% - Accent3 14 4" xfId="996"/>
    <cellStyle name="40% - Accent3 14 5" xfId="1916"/>
    <cellStyle name="40% - Accent3 15" xfId="139"/>
    <cellStyle name="40% - Accent3 15 2" xfId="1660"/>
    <cellStyle name="40% - Accent3 15 3" xfId="1219"/>
    <cellStyle name="40% - Accent3 16" xfId="1235"/>
    <cellStyle name="40% - Accent3 16 2" xfId="1675"/>
    <cellStyle name="40% - Accent3 17" xfId="1246"/>
    <cellStyle name="40% - Accent3 17 2" xfId="1686"/>
    <cellStyle name="40% - Accent3 18" xfId="1261"/>
    <cellStyle name="40% - Accent3 18 2" xfId="1699"/>
    <cellStyle name="40% - Accent3 19" xfId="1274"/>
    <cellStyle name="40% - Accent3 19 2" xfId="1712"/>
    <cellStyle name="40% - Accent3 2" xfId="141"/>
    <cellStyle name="40% - Accent3 20" xfId="1287"/>
    <cellStyle name="40% - Accent3 20 2" xfId="1725"/>
    <cellStyle name="40% - Accent3 21" xfId="1300"/>
    <cellStyle name="40% - Accent3 21 2" xfId="1738"/>
    <cellStyle name="40% - Accent3 22" xfId="1314"/>
    <cellStyle name="40% - Accent3 22 2" xfId="1752"/>
    <cellStyle name="40% - Accent3 23" xfId="1327"/>
    <cellStyle name="40% - Accent3 23 2" xfId="1765"/>
    <cellStyle name="40% - Accent3 24" xfId="1779"/>
    <cellStyle name="40% - Accent3 25" xfId="1794"/>
    <cellStyle name="40% - Accent3 26" xfId="1808"/>
    <cellStyle name="40% - Accent3 3" xfId="142"/>
    <cellStyle name="40% - Accent3 4" xfId="143"/>
    <cellStyle name="40% - Accent3 5" xfId="144"/>
    <cellStyle name="40% - Accent3 6" xfId="145"/>
    <cellStyle name="40% - Accent3 7" xfId="146"/>
    <cellStyle name="40% - Accent3 8" xfId="147"/>
    <cellStyle name="40% - Accent3 9" xfId="148"/>
    <cellStyle name="40% - Accent4 10" xfId="150"/>
    <cellStyle name="40% - Accent4 10 2" xfId="625"/>
    <cellStyle name="40% - Accent4 10 2 2" xfId="1103"/>
    <cellStyle name="40% - Accent4 10 2 2 2" xfId="1544"/>
    <cellStyle name="40% - Accent4 10 2 3" xfId="1385"/>
    <cellStyle name="40% - Accent4 10 2 4" xfId="944"/>
    <cellStyle name="40% - Accent4 10 2 5" xfId="1864"/>
    <cellStyle name="40% - Accent4 10 3" xfId="770"/>
    <cellStyle name="40% - Accent4 10 3 2" xfId="1169"/>
    <cellStyle name="40% - Accent4 10 3 2 2" xfId="1610"/>
    <cellStyle name="40% - Accent4 10 3 3" xfId="1451"/>
    <cellStyle name="40% - Accent4 10 3 4" xfId="1010"/>
    <cellStyle name="40% - Accent4 10 3 5" xfId="1930"/>
    <cellStyle name="40% - Accent4 10 4" xfId="1063"/>
    <cellStyle name="40% - Accent4 10 4 2" xfId="1504"/>
    <cellStyle name="40% - Accent4 10 5" xfId="1345"/>
    <cellStyle name="40% - Accent4 10 6" xfId="904"/>
    <cellStyle name="40% - Accent4 10 7" xfId="1824"/>
    <cellStyle name="40% - Accent4 11" xfId="598"/>
    <cellStyle name="40% - Accent4 11 2" xfId="719"/>
    <cellStyle name="40% - Accent4 11 2 2" xfId="1118"/>
    <cellStyle name="40% - Accent4 11 2 2 2" xfId="1559"/>
    <cellStyle name="40% - Accent4 11 2 3" xfId="1400"/>
    <cellStyle name="40% - Accent4 11 2 4" xfId="959"/>
    <cellStyle name="40% - Accent4 11 2 5" xfId="1879"/>
    <cellStyle name="40% - Accent4 11 3" xfId="862"/>
    <cellStyle name="40% - Accent4 11 3 2" xfId="1182"/>
    <cellStyle name="40% - Accent4 11 3 2 2" xfId="1623"/>
    <cellStyle name="40% - Accent4 11 3 3" xfId="1464"/>
    <cellStyle name="40% - Accent4 11 3 4" xfId="1023"/>
    <cellStyle name="40% - Accent4 11 3 5" xfId="1943"/>
    <cellStyle name="40% - Accent4 11 4" xfId="1076"/>
    <cellStyle name="40% - Accent4 11 4 2" xfId="1517"/>
    <cellStyle name="40% - Accent4 11 5" xfId="1358"/>
    <cellStyle name="40% - Accent4 11 6" xfId="917"/>
    <cellStyle name="40% - Accent4 11 7" xfId="1837"/>
    <cellStyle name="40% - Accent4 12" xfId="611"/>
    <cellStyle name="40% - Accent4 12 2" xfId="732"/>
    <cellStyle name="40% - Accent4 12 2 2" xfId="1131"/>
    <cellStyle name="40% - Accent4 12 2 2 2" xfId="1572"/>
    <cellStyle name="40% - Accent4 12 2 3" xfId="1413"/>
    <cellStyle name="40% - Accent4 12 2 4" xfId="972"/>
    <cellStyle name="40% - Accent4 12 2 5" xfId="1892"/>
    <cellStyle name="40% - Accent4 12 3" xfId="875"/>
    <cellStyle name="40% - Accent4 12 3 2" xfId="1195"/>
    <cellStyle name="40% - Accent4 12 3 2 2" xfId="1636"/>
    <cellStyle name="40% - Accent4 12 3 3" xfId="1477"/>
    <cellStyle name="40% - Accent4 12 3 4" xfId="1036"/>
    <cellStyle name="40% - Accent4 12 3 5" xfId="1956"/>
    <cellStyle name="40% - Accent4 12 4" xfId="1089"/>
    <cellStyle name="40% - Accent4 12 4 2" xfId="1530"/>
    <cellStyle name="40% - Accent4 12 5" xfId="1371"/>
    <cellStyle name="40% - Accent4 12 6" xfId="930"/>
    <cellStyle name="40% - Accent4 12 7" xfId="1850"/>
    <cellStyle name="40% - Accent4 13" xfId="745"/>
    <cellStyle name="40% - Accent4 13 2" xfId="888"/>
    <cellStyle name="40% - Accent4 13 2 2" xfId="1208"/>
    <cellStyle name="40% - Accent4 13 2 2 2" xfId="1649"/>
    <cellStyle name="40% - Accent4 13 2 3" xfId="1490"/>
    <cellStyle name="40% - Accent4 13 2 4" xfId="1049"/>
    <cellStyle name="40% - Accent4 13 2 5" xfId="1969"/>
    <cellStyle name="40% - Accent4 13 3" xfId="1144"/>
    <cellStyle name="40% - Accent4 13 3 2" xfId="1585"/>
    <cellStyle name="40% - Accent4 13 4" xfId="1426"/>
    <cellStyle name="40% - Accent4 13 5" xfId="985"/>
    <cellStyle name="40% - Accent4 13 6" xfId="1905"/>
    <cellStyle name="40% - Accent4 14" xfId="758"/>
    <cellStyle name="40% - Accent4 14 2" xfId="1157"/>
    <cellStyle name="40% - Accent4 14 2 2" xfId="1598"/>
    <cellStyle name="40% - Accent4 14 3" xfId="1439"/>
    <cellStyle name="40% - Accent4 14 4" xfId="998"/>
    <cellStyle name="40% - Accent4 14 5" xfId="1918"/>
    <cellStyle name="40% - Accent4 15" xfId="149"/>
    <cellStyle name="40% - Accent4 15 2" xfId="1662"/>
    <cellStyle name="40% - Accent4 15 3" xfId="1221"/>
    <cellStyle name="40% - Accent4 16" xfId="1236"/>
    <cellStyle name="40% - Accent4 16 2" xfId="1676"/>
    <cellStyle name="40% - Accent4 17" xfId="1248"/>
    <cellStyle name="40% - Accent4 17 2" xfId="1688"/>
    <cellStyle name="40% - Accent4 18" xfId="1263"/>
    <cellStyle name="40% - Accent4 18 2" xfId="1701"/>
    <cellStyle name="40% - Accent4 19" xfId="1276"/>
    <cellStyle name="40% - Accent4 19 2" xfId="1714"/>
    <cellStyle name="40% - Accent4 2" xfId="151"/>
    <cellStyle name="40% - Accent4 20" xfId="1289"/>
    <cellStyle name="40% - Accent4 20 2" xfId="1727"/>
    <cellStyle name="40% - Accent4 21" xfId="1302"/>
    <cellStyle name="40% - Accent4 21 2" xfId="1740"/>
    <cellStyle name="40% - Accent4 22" xfId="1316"/>
    <cellStyle name="40% - Accent4 22 2" xfId="1754"/>
    <cellStyle name="40% - Accent4 23" xfId="1329"/>
    <cellStyle name="40% - Accent4 23 2" xfId="1767"/>
    <cellStyle name="40% - Accent4 24" xfId="1781"/>
    <cellStyle name="40% - Accent4 25" xfId="1796"/>
    <cellStyle name="40% - Accent4 26" xfId="1810"/>
    <cellStyle name="40% - Accent4 3" xfId="152"/>
    <cellStyle name="40% - Accent4 4" xfId="153"/>
    <cellStyle name="40% - Accent4 5" xfId="154"/>
    <cellStyle name="40% - Accent4 6" xfId="155"/>
    <cellStyle name="40% - Accent4 7" xfId="156"/>
    <cellStyle name="40% - Accent4 8" xfId="157"/>
    <cellStyle name="40% - Accent4 9" xfId="158"/>
    <cellStyle name="40% - Accent5 10" xfId="160"/>
    <cellStyle name="40% - Accent5 10 2" xfId="626"/>
    <cellStyle name="40% - Accent5 10 2 2" xfId="1104"/>
    <cellStyle name="40% - Accent5 10 2 2 2" xfId="1545"/>
    <cellStyle name="40% - Accent5 10 2 3" xfId="1386"/>
    <cellStyle name="40% - Accent5 10 2 4" xfId="945"/>
    <cellStyle name="40% - Accent5 10 2 5" xfId="1865"/>
    <cellStyle name="40% - Accent5 10 3" xfId="771"/>
    <cellStyle name="40% - Accent5 10 3 2" xfId="1170"/>
    <cellStyle name="40% - Accent5 10 3 2 2" xfId="1611"/>
    <cellStyle name="40% - Accent5 10 3 3" xfId="1452"/>
    <cellStyle name="40% - Accent5 10 3 4" xfId="1011"/>
    <cellStyle name="40% - Accent5 10 3 5" xfId="1931"/>
    <cellStyle name="40% - Accent5 10 4" xfId="1064"/>
    <cellStyle name="40% - Accent5 10 4 2" xfId="1505"/>
    <cellStyle name="40% - Accent5 10 5" xfId="1346"/>
    <cellStyle name="40% - Accent5 10 6" xfId="905"/>
    <cellStyle name="40% - Accent5 10 7" xfId="1825"/>
    <cellStyle name="40% - Accent5 11" xfId="600"/>
    <cellStyle name="40% - Accent5 11 2" xfId="721"/>
    <cellStyle name="40% - Accent5 11 2 2" xfId="1120"/>
    <cellStyle name="40% - Accent5 11 2 2 2" xfId="1561"/>
    <cellStyle name="40% - Accent5 11 2 3" xfId="1402"/>
    <cellStyle name="40% - Accent5 11 2 4" xfId="961"/>
    <cellStyle name="40% - Accent5 11 2 5" xfId="1881"/>
    <cellStyle name="40% - Accent5 11 3" xfId="864"/>
    <cellStyle name="40% - Accent5 11 3 2" xfId="1184"/>
    <cellStyle name="40% - Accent5 11 3 2 2" xfId="1625"/>
    <cellStyle name="40% - Accent5 11 3 3" xfId="1466"/>
    <cellStyle name="40% - Accent5 11 3 4" xfId="1025"/>
    <cellStyle name="40% - Accent5 11 3 5" xfId="1945"/>
    <cellStyle name="40% - Accent5 11 4" xfId="1078"/>
    <cellStyle name="40% - Accent5 11 4 2" xfId="1519"/>
    <cellStyle name="40% - Accent5 11 5" xfId="1360"/>
    <cellStyle name="40% - Accent5 11 6" xfId="919"/>
    <cellStyle name="40% - Accent5 11 7" xfId="1839"/>
    <cellStyle name="40% - Accent5 12" xfId="613"/>
    <cellStyle name="40% - Accent5 12 2" xfId="734"/>
    <cellStyle name="40% - Accent5 12 2 2" xfId="1133"/>
    <cellStyle name="40% - Accent5 12 2 2 2" xfId="1574"/>
    <cellStyle name="40% - Accent5 12 2 3" xfId="1415"/>
    <cellStyle name="40% - Accent5 12 2 4" xfId="974"/>
    <cellStyle name="40% - Accent5 12 2 5" xfId="1894"/>
    <cellStyle name="40% - Accent5 12 3" xfId="877"/>
    <cellStyle name="40% - Accent5 12 3 2" xfId="1197"/>
    <cellStyle name="40% - Accent5 12 3 2 2" xfId="1638"/>
    <cellStyle name="40% - Accent5 12 3 3" xfId="1479"/>
    <cellStyle name="40% - Accent5 12 3 4" xfId="1038"/>
    <cellStyle name="40% - Accent5 12 3 5" xfId="1958"/>
    <cellStyle name="40% - Accent5 12 4" xfId="1091"/>
    <cellStyle name="40% - Accent5 12 4 2" xfId="1532"/>
    <cellStyle name="40% - Accent5 12 5" xfId="1373"/>
    <cellStyle name="40% - Accent5 12 6" xfId="932"/>
    <cellStyle name="40% - Accent5 12 7" xfId="1852"/>
    <cellStyle name="40% - Accent5 13" xfId="747"/>
    <cellStyle name="40% - Accent5 13 2" xfId="890"/>
    <cellStyle name="40% - Accent5 13 2 2" xfId="1210"/>
    <cellStyle name="40% - Accent5 13 2 2 2" xfId="1651"/>
    <cellStyle name="40% - Accent5 13 2 3" xfId="1492"/>
    <cellStyle name="40% - Accent5 13 2 4" xfId="1051"/>
    <cellStyle name="40% - Accent5 13 2 5" xfId="1971"/>
    <cellStyle name="40% - Accent5 13 3" xfId="1146"/>
    <cellStyle name="40% - Accent5 13 3 2" xfId="1587"/>
    <cellStyle name="40% - Accent5 13 4" xfId="1428"/>
    <cellStyle name="40% - Accent5 13 5" xfId="987"/>
    <cellStyle name="40% - Accent5 13 6" xfId="1907"/>
    <cellStyle name="40% - Accent5 14" xfId="760"/>
    <cellStyle name="40% - Accent5 14 2" xfId="1159"/>
    <cellStyle name="40% - Accent5 14 2 2" xfId="1600"/>
    <cellStyle name="40% - Accent5 14 3" xfId="1441"/>
    <cellStyle name="40% - Accent5 14 4" xfId="1000"/>
    <cellStyle name="40% - Accent5 14 5" xfId="1920"/>
    <cellStyle name="40% - Accent5 15" xfId="159"/>
    <cellStyle name="40% - Accent5 15 2" xfId="1664"/>
    <cellStyle name="40% - Accent5 15 3" xfId="1223"/>
    <cellStyle name="40% - Accent5 16" xfId="1237"/>
    <cellStyle name="40% - Accent5 16 2" xfId="1677"/>
    <cellStyle name="40% - Accent5 17" xfId="1250"/>
    <cellStyle name="40% - Accent5 17 2" xfId="1690"/>
    <cellStyle name="40% - Accent5 18" xfId="1265"/>
    <cellStyle name="40% - Accent5 18 2" xfId="1703"/>
    <cellStyle name="40% - Accent5 19" xfId="1278"/>
    <cellStyle name="40% - Accent5 19 2" xfId="1716"/>
    <cellStyle name="40% - Accent5 2" xfId="161"/>
    <cellStyle name="40% - Accent5 20" xfId="1291"/>
    <cellStyle name="40% - Accent5 20 2" xfId="1729"/>
    <cellStyle name="40% - Accent5 21" xfId="1304"/>
    <cellStyle name="40% - Accent5 21 2" xfId="1742"/>
    <cellStyle name="40% - Accent5 22" xfId="1318"/>
    <cellStyle name="40% - Accent5 22 2" xfId="1756"/>
    <cellStyle name="40% - Accent5 23" xfId="1331"/>
    <cellStyle name="40% - Accent5 23 2" xfId="1769"/>
    <cellStyle name="40% - Accent5 24" xfId="1783"/>
    <cellStyle name="40% - Accent5 25" xfId="1798"/>
    <cellStyle name="40% - Accent5 26" xfId="1812"/>
    <cellStyle name="40% - Accent5 3" xfId="162"/>
    <cellStyle name="40% - Accent5 4" xfId="163"/>
    <cellStyle name="40% - Accent5 5" xfId="164"/>
    <cellStyle name="40% - Accent5 6" xfId="165"/>
    <cellStyle name="40% - Accent5 7" xfId="166"/>
    <cellStyle name="40% - Accent5 8" xfId="167"/>
    <cellStyle name="40% - Accent5 9" xfId="168"/>
    <cellStyle name="40% - Accent6 10" xfId="170"/>
    <cellStyle name="40% - Accent6 10 2" xfId="627"/>
    <cellStyle name="40% - Accent6 10 2 2" xfId="1105"/>
    <cellStyle name="40% - Accent6 10 2 2 2" xfId="1546"/>
    <cellStyle name="40% - Accent6 10 2 3" xfId="1387"/>
    <cellStyle name="40% - Accent6 10 2 4" xfId="946"/>
    <cellStyle name="40% - Accent6 10 2 5" xfId="1866"/>
    <cellStyle name="40% - Accent6 10 3" xfId="772"/>
    <cellStyle name="40% - Accent6 10 3 2" xfId="1171"/>
    <cellStyle name="40% - Accent6 10 3 2 2" xfId="1612"/>
    <cellStyle name="40% - Accent6 10 3 3" xfId="1453"/>
    <cellStyle name="40% - Accent6 10 3 4" xfId="1012"/>
    <cellStyle name="40% - Accent6 10 3 5" xfId="1932"/>
    <cellStyle name="40% - Accent6 10 4" xfId="1065"/>
    <cellStyle name="40% - Accent6 10 4 2" xfId="1506"/>
    <cellStyle name="40% - Accent6 10 5" xfId="1347"/>
    <cellStyle name="40% - Accent6 10 6" xfId="906"/>
    <cellStyle name="40% - Accent6 10 7" xfId="1826"/>
    <cellStyle name="40% - Accent6 11" xfId="602"/>
    <cellStyle name="40% - Accent6 11 2" xfId="723"/>
    <cellStyle name="40% - Accent6 11 2 2" xfId="1122"/>
    <cellStyle name="40% - Accent6 11 2 2 2" xfId="1563"/>
    <cellStyle name="40% - Accent6 11 2 3" xfId="1404"/>
    <cellStyle name="40% - Accent6 11 2 4" xfId="963"/>
    <cellStyle name="40% - Accent6 11 2 5" xfId="1883"/>
    <cellStyle name="40% - Accent6 11 3" xfId="866"/>
    <cellStyle name="40% - Accent6 11 3 2" xfId="1186"/>
    <cellStyle name="40% - Accent6 11 3 2 2" xfId="1627"/>
    <cellStyle name="40% - Accent6 11 3 3" xfId="1468"/>
    <cellStyle name="40% - Accent6 11 3 4" xfId="1027"/>
    <cellStyle name="40% - Accent6 11 3 5" xfId="1947"/>
    <cellStyle name="40% - Accent6 11 4" xfId="1080"/>
    <cellStyle name="40% - Accent6 11 4 2" xfId="1521"/>
    <cellStyle name="40% - Accent6 11 5" xfId="1362"/>
    <cellStyle name="40% - Accent6 11 6" xfId="921"/>
    <cellStyle name="40% - Accent6 11 7" xfId="1841"/>
    <cellStyle name="40% - Accent6 12" xfId="615"/>
    <cellStyle name="40% - Accent6 12 2" xfId="736"/>
    <cellStyle name="40% - Accent6 12 2 2" xfId="1135"/>
    <cellStyle name="40% - Accent6 12 2 2 2" xfId="1576"/>
    <cellStyle name="40% - Accent6 12 2 3" xfId="1417"/>
    <cellStyle name="40% - Accent6 12 2 4" xfId="976"/>
    <cellStyle name="40% - Accent6 12 2 5" xfId="1896"/>
    <cellStyle name="40% - Accent6 12 3" xfId="879"/>
    <cellStyle name="40% - Accent6 12 3 2" xfId="1199"/>
    <cellStyle name="40% - Accent6 12 3 2 2" xfId="1640"/>
    <cellStyle name="40% - Accent6 12 3 3" xfId="1481"/>
    <cellStyle name="40% - Accent6 12 3 4" xfId="1040"/>
    <cellStyle name="40% - Accent6 12 3 5" xfId="1960"/>
    <cellStyle name="40% - Accent6 12 4" xfId="1093"/>
    <cellStyle name="40% - Accent6 12 4 2" xfId="1534"/>
    <cellStyle name="40% - Accent6 12 5" xfId="1375"/>
    <cellStyle name="40% - Accent6 12 6" xfId="934"/>
    <cellStyle name="40% - Accent6 12 7" xfId="1854"/>
    <cellStyle name="40% - Accent6 13" xfId="749"/>
    <cellStyle name="40% - Accent6 13 2" xfId="892"/>
    <cellStyle name="40% - Accent6 13 2 2" xfId="1212"/>
    <cellStyle name="40% - Accent6 13 2 2 2" xfId="1653"/>
    <cellStyle name="40% - Accent6 13 2 3" xfId="1494"/>
    <cellStyle name="40% - Accent6 13 2 4" xfId="1053"/>
    <cellStyle name="40% - Accent6 13 2 5" xfId="1973"/>
    <cellStyle name="40% - Accent6 13 3" xfId="1148"/>
    <cellStyle name="40% - Accent6 13 3 2" xfId="1589"/>
    <cellStyle name="40% - Accent6 13 4" xfId="1430"/>
    <cellStyle name="40% - Accent6 13 5" xfId="989"/>
    <cellStyle name="40% - Accent6 13 6" xfId="1909"/>
    <cellStyle name="40% - Accent6 14" xfId="762"/>
    <cellStyle name="40% - Accent6 14 2" xfId="1161"/>
    <cellStyle name="40% - Accent6 14 2 2" xfId="1602"/>
    <cellStyle name="40% - Accent6 14 3" xfId="1443"/>
    <cellStyle name="40% - Accent6 14 4" xfId="1002"/>
    <cellStyle name="40% - Accent6 14 5" xfId="1922"/>
    <cellStyle name="40% - Accent6 15" xfId="169"/>
    <cellStyle name="40% - Accent6 15 2" xfId="1666"/>
    <cellStyle name="40% - Accent6 15 3" xfId="1225"/>
    <cellStyle name="40% - Accent6 16" xfId="1238"/>
    <cellStyle name="40% - Accent6 16 2" xfId="1678"/>
    <cellStyle name="40% - Accent6 17" xfId="1252"/>
    <cellStyle name="40% - Accent6 17 2" xfId="1692"/>
    <cellStyle name="40% - Accent6 18" xfId="1267"/>
    <cellStyle name="40% - Accent6 18 2" xfId="1705"/>
    <cellStyle name="40% - Accent6 19" xfId="1280"/>
    <cellStyle name="40% - Accent6 19 2" xfId="1718"/>
    <cellStyle name="40% - Accent6 2" xfId="171"/>
    <cellStyle name="40% - Accent6 20" xfId="1293"/>
    <cellStyle name="40% - Accent6 20 2" xfId="1731"/>
    <cellStyle name="40% - Accent6 21" xfId="1306"/>
    <cellStyle name="40% - Accent6 21 2" xfId="1744"/>
    <cellStyle name="40% - Accent6 22" xfId="1320"/>
    <cellStyle name="40% - Accent6 22 2" xfId="1758"/>
    <cellStyle name="40% - Accent6 23" xfId="1333"/>
    <cellStyle name="40% - Accent6 23 2" xfId="1771"/>
    <cellStyle name="40% - Accent6 24" xfId="1785"/>
    <cellStyle name="40% - Accent6 25" xfId="1800"/>
    <cellStyle name="40% - Accent6 26" xfId="1814"/>
    <cellStyle name="40% - Accent6 3" xfId="172"/>
    <cellStyle name="40% - Accent6 4" xfId="173"/>
    <cellStyle name="40% - Accent6 5" xfId="174"/>
    <cellStyle name="40% - Accent6 6" xfId="175"/>
    <cellStyle name="40% - Accent6 7" xfId="176"/>
    <cellStyle name="40% - Accent6 8" xfId="177"/>
    <cellStyle name="40% - Accent6 9" xfId="178"/>
    <cellStyle name="60% - Accent1 2" xfId="180"/>
    <cellStyle name="60% - Accent1 3" xfId="179"/>
    <cellStyle name="60% - Accent2 2" xfId="182"/>
    <cellStyle name="60% - Accent2 3" xfId="181"/>
    <cellStyle name="60% - Accent3 2" xfId="184"/>
    <cellStyle name="60% - Accent3 3" xfId="183"/>
    <cellStyle name="60% - Accent4 2" xfId="186"/>
    <cellStyle name="60% - Accent4 3" xfId="185"/>
    <cellStyle name="60% - Accent5 2" xfId="188"/>
    <cellStyle name="60% - Accent5 3" xfId="187"/>
    <cellStyle name="60% - Accent6 2" xfId="190"/>
    <cellStyle name="60% - Accent6 3" xfId="189"/>
    <cellStyle name="7Mini" xfId="5"/>
    <cellStyle name="Accent1 2" xfId="192"/>
    <cellStyle name="Accent1 3" xfId="191"/>
    <cellStyle name="Accent2 2" xfId="194"/>
    <cellStyle name="Accent2 3" xfId="193"/>
    <cellStyle name="Accent3 2" xfId="196"/>
    <cellStyle name="Accent3 3" xfId="195"/>
    <cellStyle name="Accent4 2" xfId="198"/>
    <cellStyle name="Accent4 3" xfId="197"/>
    <cellStyle name="Accent5 2" xfId="200"/>
    <cellStyle name="Accent5 3" xfId="199"/>
    <cellStyle name="Accent6 2" xfId="202"/>
    <cellStyle name="Accent6 3" xfId="201"/>
    <cellStyle name="Bad 2" xfId="204"/>
    <cellStyle name="Bad 3" xfId="203"/>
    <cellStyle name="C" xfId="6"/>
    <cellStyle name="Calculation 2" xfId="206"/>
    <cellStyle name="Calculation 3" xfId="205"/>
    <cellStyle name="Check Cell 2" xfId="208"/>
    <cellStyle name="Check Cell 3" xfId="207"/>
    <cellStyle name="Comma" xfId="7" builtinId="3"/>
    <cellStyle name="Comma 10" xfId="210"/>
    <cellStyle name="Comma 10 2" xfId="211"/>
    <cellStyle name="Comma 10 2 2" xfId="629"/>
    <cellStyle name="Comma 10 2 3" xfId="774"/>
    <cellStyle name="Comma 10 3" xfId="628"/>
    <cellStyle name="Comma 10 4" xfId="773"/>
    <cellStyle name="Comma 11" xfId="212"/>
    <cellStyle name="Comma 11 2" xfId="630"/>
    <cellStyle name="Comma 11 3" xfId="775"/>
    <cellStyle name="Comma 12" xfId="209"/>
    <cellStyle name="Comma 19" xfId="894"/>
    <cellStyle name="Comma 2" xfId="213"/>
    <cellStyle name="Comma 24" xfId="1226"/>
    <cellStyle name="Comma 26" xfId="1254"/>
    <cellStyle name="Comma 27" xfId="1335"/>
    <cellStyle name="Comma 28" xfId="1786"/>
    <cellStyle name="Comma 3" xfId="214"/>
    <cellStyle name="Comma 3 2" xfId="215"/>
    <cellStyle name="Comma 4" xfId="216"/>
    <cellStyle name="Comma 4 2" xfId="217"/>
    <cellStyle name="Comma 5" xfId="218"/>
    <cellStyle name="Comma 5 2" xfId="219"/>
    <cellStyle name="Comma 5 2 2" xfId="220"/>
    <cellStyle name="Comma 5 2 2 2" xfId="221"/>
    <cellStyle name="Comma 5 2 2 2 2" xfId="634"/>
    <cellStyle name="Comma 5 2 2 2 3" xfId="779"/>
    <cellStyle name="Comma 5 2 2 3" xfId="633"/>
    <cellStyle name="Comma 5 2 2 4" xfId="778"/>
    <cellStyle name="Comma 5 2 3" xfId="222"/>
    <cellStyle name="Comma 5 2 3 2" xfId="635"/>
    <cellStyle name="Comma 5 2 3 3" xfId="780"/>
    <cellStyle name="Comma 5 2 4" xfId="632"/>
    <cellStyle name="Comma 5 2 5" xfId="777"/>
    <cellStyle name="Comma 5 3" xfId="223"/>
    <cellStyle name="Comma 5 3 2" xfId="224"/>
    <cellStyle name="Comma 5 3 2 2" xfId="637"/>
    <cellStyle name="Comma 5 3 2 3" xfId="782"/>
    <cellStyle name="Comma 5 3 3" xfId="636"/>
    <cellStyle name="Comma 5 3 4" xfId="781"/>
    <cellStyle name="Comma 5 4" xfId="225"/>
    <cellStyle name="Comma 5 4 2" xfId="638"/>
    <cellStyle name="Comma 5 4 3" xfId="783"/>
    <cellStyle name="Comma 5 5" xfId="631"/>
    <cellStyle name="Comma 5 6" xfId="776"/>
    <cellStyle name="Comma 6" xfId="226"/>
    <cellStyle name="Comma 6 2" xfId="227"/>
    <cellStyle name="Comma 7" xfId="228"/>
    <cellStyle name="Comma 8" xfId="229"/>
    <cellStyle name="Comma 8 2" xfId="230"/>
    <cellStyle name="Comma 9" xfId="231"/>
    <cellStyle name="Comma 9 2" xfId="232"/>
    <cellStyle name="Comma 9 2 2" xfId="640"/>
    <cellStyle name="Comma 9 2 3" xfId="785"/>
    <cellStyle name="Comma 9 3" xfId="639"/>
    <cellStyle name="Comma 9 4" xfId="784"/>
    <cellStyle name="Comma0 - Modelo1" xfId="8"/>
    <cellStyle name="Comma0 - Style1" xfId="9"/>
    <cellStyle name="Comma1 - Modelo2" xfId="10"/>
    <cellStyle name="Comma1 - Style2" xfId="11"/>
    <cellStyle name="Dia" xfId="12"/>
    <cellStyle name="Encabez1" xfId="13"/>
    <cellStyle name="Encabez2" xfId="14"/>
    <cellStyle name="Estimat" xfId="15"/>
    <cellStyle name="Explanatory Text" xfId="58" builtinId="53" customBuiltin="1"/>
    <cellStyle name="Forudsætning" xfId="16"/>
    <cellStyle name="Forudsætning 2" xfId="233"/>
    <cellStyle name="Good 2" xfId="235"/>
    <cellStyle name="Good 3" xfId="234"/>
    <cellStyle name="Header 1" xfId="17"/>
    <cellStyle name="Header 1 Left" xfId="18"/>
    <cellStyle name="Header 1 Left 2" xfId="236"/>
    <cellStyle name="Header 1(box)" xfId="19"/>
    <cellStyle name="Header 1(middle)" xfId="20"/>
    <cellStyle name="Header 1_Front Page" xfId="21"/>
    <cellStyle name="Header 2" xfId="22"/>
    <cellStyle name="Header Price 1" xfId="23"/>
    <cellStyle name="Header Price 1 2" xfId="237"/>
    <cellStyle name="Header Price 2" xfId="24"/>
    <cellStyle name="Header Price 2 2" xfId="239"/>
    <cellStyle name="Header Price 2 3" xfId="238"/>
    <cellStyle name="Heading 1" xfId="25"/>
    <cellStyle name="Heading 1 2" xfId="240"/>
    <cellStyle name="Heading 1 3" xfId="241"/>
    <cellStyle name="Heading 1 4" xfId="242"/>
    <cellStyle name="Heading 2" xfId="26"/>
    <cellStyle name="Heading 2 2" xfId="243"/>
    <cellStyle name="Heading 2 3" xfId="244"/>
    <cellStyle name="Heading 2 4" xfId="245"/>
    <cellStyle name="Heading 3 2" xfId="247"/>
    <cellStyle name="Heading 3 3" xfId="246"/>
    <cellStyle name="Heading 4" xfId="57" builtinId="19" customBuiltin="1"/>
    <cellStyle name="Helv 8" xfId="27"/>
    <cellStyle name="Input 2" xfId="249"/>
    <cellStyle name="Input 3" xfId="248"/>
    <cellStyle name="Kolonne" xfId="250"/>
    <cellStyle name="Komma 2" xfId="1975"/>
    <cellStyle name="Komma 2 2" xfId="1976"/>
    <cellStyle name="Komma 3" xfId="1977"/>
    <cellStyle name="Linked Cell 2" xfId="252"/>
    <cellStyle name="Linked Cell 3" xfId="251"/>
    <cellStyle name="n" xfId="28"/>
    <cellStyle name="n 2" xfId="253"/>
    <cellStyle name="n_CashF and Ratios" xfId="29"/>
    <cellStyle name="n_CashF and Ratios 2" xfId="254"/>
    <cellStyle name="n_CashF and Ratios_1" xfId="30"/>
    <cellStyle name="n_full year table" xfId="31"/>
    <cellStyle name="n_full year table 2" xfId="255"/>
    <cellStyle name="n_full year table_1" xfId="32"/>
    <cellStyle name="n_half year upd" xfId="33"/>
    <cellStyle name="n_IS (functional) and BS " xfId="34"/>
    <cellStyle name="n_IS (traditional) and BS " xfId="35"/>
    <cellStyle name="n_IS (traditional) and BS  2" xfId="256"/>
    <cellStyle name="n_page 1" xfId="36"/>
    <cellStyle name="n_page 1_CashF and Ratios" xfId="37"/>
    <cellStyle name="n_page 1_CashF and Ratios 2" xfId="257"/>
    <cellStyle name="n_page 1_full year table" xfId="38"/>
    <cellStyle name="n_page 1_full year table 2" xfId="258"/>
    <cellStyle name="n_page 1_half year upd" xfId="39"/>
    <cellStyle name="n_page 1_half year upd 2" xfId="259"/>
    <cellStyle name="n_page 1_IS (functional) and BS " xfId="40"/>
    <cellStyle name="n_page 1_IS (functional) and BS  2" xfId="260"/>
    <cellStyle name="N0" xfId="41"/>
    <cellStyle name="N0 2" xfId="262"/>
    <cellStyle name="N0 3" xfId="261"/>
    <cellStyle name="N1" xfId="42"/>
    <cellStyle name="N2" xfId="43"/>
    <cellStyle name="N3" xfId="44"/>
    <cellStyle name="N4" xfId="45"/>
    <cellStyle name="N4 2" xfId="263"/>
    <cellStyle name="Neutral 2" xfId="265"/>
    <cellStyle name="Neutral 3" xfId="264"/>
    <cellStyle name="Normal" xfId="0" builtinId="0"/>
    <cellStyle name="Normal 10" xfId="266"/>
    <cellStyle name="Normal 10 2" xfId="267"/>
    <cellStyle name="Normal 10 2 2" xfId="268"/>
    <cellStyle name="Normal 10 2 2 2" xfId="269"/>
    <cellStyle name="Normal 10 2 2 2 2" xfId="270"/>
    <cellStyle name="Normal 10 2 2 2 2 2" xfId="271"/>
    <cellStyle name="Normal 10 2 2 3" xfId="272"/>
    <cellStyle name="Normal 10 2 3" xfId="273"/>
    <cellStyle name="Normal 10 2 3 2" xfId="274"/>
    <cellStyle name="Normal 10 2 4" xfId="275"/>
    <cellStyle name="Normal 10 3" xfId="276"/>
    <cellStyle name="Normal 10 3 2" xfId="277"/>
    <cellStyle name="Normal 10 3 2 2" xfId="278"/>
    <cellStyle name="Normal 10 3 3" xfId="279"/>
    <cellStyle name="Normal 10 4" xfId="280"/>
    <cellStyle name="Normal 10 4 2" xfId="281"/>
    <cellStyle name="Normal 10 5" xfId="282"/>
    <cellStyle name="Normal 10 5 2" xfId="283"/>
    <cellStyle name="Normal 10 6" xfId="284"/>
    <cellStyle name="Normal 11" xfId="285"/>
    <cellStyle name="Normal 11 2" xfId="641"/>
    <cellStyle name="Normal 11 3" xfId="786"/>
    <cellStyle name="Normal 12" xfId="286"/>
    <cellStyle name="Normal 12 2" xfId="287"/>
    <cellStyle name="Normal 12 2 2" xfId="288"/>
    <cellStyle name="Normal 12 2 2 2" xfId="289"/>
    <cellStyle name="Normal 12 2 2 2 2" xfId="290"/>
    <cellStyle name="Normal 12 2 2 3" xfId="291"/>
    <cellStyle name="Normal 12 2 3" xfId="292"/>
    <cellStyle name="Normal 12 2 3 2" xfId="293"/>
    <cellStyle name="Normal 12 2 4" xfId="294"/>
    <cellStyle name="Normal 12 3" xfId="295"/>
    <cellStyle name="Normal 12 3 2" xfId="296"/>
    <cellStyle name="Normal 12 3 2 2" xfId="297"/>
    <cellStyle name="Normal 12 3 3" xfId="298"/>
    <cellStyle name="Normal 12 4" xfId="299"/>
    <cellStyle name="Normal 12 4 2" xfId="300"/>
    <cellStyle name="Normal 12 5" xfId="301"/>
    <cellStyle name="Normal 13" xfId="302"/>
    <cellStyle name="Normal 13 2" xfId="303"/>
    <cellStyle name="Normal 13 2 2" xfId="304"/>
    <cellStyle name="Normal 13 2 2 2" xfId="305"/>
    <cellStyle name="Normal 13 2 2 2 2" xfId="306"/>
    <cellStyle name="Normal 13 2 2 3" xfId="307"/>
    <cellStyle name="Normal 13 2 3" xfId="308"/>
    <cellStyle name="Normal 13 2 3 2" xfId="309"/>
    <cellStyle name="Normal 13 2 4" xfId="310"/>
    <cellStyle name="Normal 13 3" xfId="311"/>
    <cellStyle name="Normal 13 3 2" xfId="312"/>
    <cellStyle name="Normal 13 3 2 2" xfId="313"/>
    <cellStyle name="Normal 13 3 3" xfId="314"/>
    <cellStyle name="Normal 13 4" xfId="315"/>
    <cellStyle name="Normal 13 4 2" xfId="316"/>
    <cellStyle name="Normal 13 5" xfId="317"/>
    <cellStyle name="Normal 14" xfId="318"/>
    <cellStyle name="Normal 14 2" xfId="319"/>
    <cellStyle name="Normal 14 2 2" xfId="320"/>
    <cellStyle name="Normal 14 2 2 2" xfId="321"/>
    <cellStyle name="Normal 14 2 2 2 2" xfId="322"/>
    <cellStyle name="Normal 14 2 2 3" xfId="323"/>
    <cellStyle name="Normal 14 2 3" xfId="324"/>
    <cellStyle name="Normal 14 2 3 2" xfId="325"/>
    <cellStyle name="Normal 14 2 4" xfId="326"/>
    <cellStyle name="Normal 14 3" xfId="327"/>
    <cellStyle name="Normal 14 3 2" xfId="328"/>
    <cellStyle name="Normal 14 3 2 2" xfId="329"/>
    <cellStyle name="Normal 14 3 3" xfId="330"/>
    <cellStyle name="Normal 14 4" xfId="331"/>
    <cellStyle name="Normal 14 4 2" xfId="332"/>
    <cellStyle name="Normal 14 5" xfId="333"/>
    <cellStyle name="Normal 15" xfId="334"/>
    <cellStyle name="Normal 15 2" xfId="335"/>
    <cellStyle name="Normal 15 2 2" xfId="336"/>
    <cellStyle name="Normal 15 2 2 2" xfId="337"/>
    <cellStyle name="Normal 15 2 2 2 2" xfId="338"/>
    <cellStyle name="Normal 15 2 2 3" xfId="339"/>
    <cellStyle name="Normal 15 2 3" xfId="340"/>
    <cellStyle name="Normal 15 2 3 2" xfId="341"/>
    <cellStyle name="Normal 15 2 4" xfId="342"/>
    <cellStyle name="Normal 15 3" xfId="343"/>
    <cellStyle name="Normal 15 3 2" xfId="344"/>
    <cellStyle name="Normal 15 3 2 2" xfId="345"/>
    <cellStyle name="Normal 15 3 3" xfId="346"/>
    <cellStyle name="Normal 15 4" xfId="347"/>
    <cellStyle name="Normal 15 4 2" xfId="348"/>
    <cellStyle name="Normal 15 5" xfId="349"/>
    <cellStyle name="Normal 16" xfId="350"/>
    <cellStyle name="Normal 16 2" xfId="351"/>
    <cellStyle name="Normal 16 2 2" xfId="352"/>
    <cellStyle name="Normal 16 2 2 2" xfId="353"/>
    <cellStyle name="Normal 16 2 3" xfId="354"/>
    <cellStyle name="Normal 16 3" xfId="355"/>
    <cellStyle name="Normal 16 3 2" xfId="356"/>
    <cellStyle name="Normal 16 4" xfId="357"/>
    <cellStyle name="Normal 17" xfId="358"/>
    <cellStyle name="Normal 17 2" xfId="359"/>
    <cellStyle name="Normal 17 2 2" xfId="360"/>
    <cellStyle name="Normal 17 2 2 2" xfId="361"/>
    <cellStyle name="Normal 17 2 3" xfId="362"/>
    <cellStyle name="Normal 17 3" xfId="363"/>
    <cellStyle name="Normal 17 3 2" xfId="364"/>
    <cellStyle name="Normal 17 4" xfId="365"/>
    <cellStyle name="Normal 18" xfId="366"/>
    <cellStyle name="Normal 18 2" xfId="367"/>
    <cellStyle name="Normal 18 2 2" xfId="368"/>
    <cellStyle name="Normal 18 3" xfId="369"/>
    <cellStyle name="Normal 19" xfId="370"/>
    <cellStyle name="Normal 19 2" xfId="371"/>
    <cellStyle name="Normal 2" xfId="53"/>
    <cellStyle name="Normal 2 2" xfId="1978"/>
    <cellStyle name="Normal 20" xfId="372"/>
    <cellStyle name="Normal 21" xfId="373"/>
    <cellStyle name="Normal 21 2" xfId="374"/>
    <cellStyle name="Normal 22" xfId="375"/>
    <cellStyle name="Normal 22 2" xfId="376"/>
    <cellStyle name="Normal 23" xfId="377"/>
    <cellStyle name="Normal 24" xfId="589"/>
    <cellStyle name="Normal 24 2" xfId="710"/>
    <cellStyle name="Normal 24 2 2" xfId="1109"/>
    <cellStyle name="Normal 24 2 2 2" xfId="1550"/>
    <cellStyle name="Normal 24 2 3" xfId="1391"/>
    <cellStyle name="Normal 24 2 4" xfId="950"/>
    <cellStyle name="Normal 24 2 5" xfId="1870"/>
    <cellStyle name="Normal 24 3" xfId="853"/>
    <cellStyle name="Normal 24 3 2" xfId="1173"/>
    <cellStyle name="Normal 24 3 2 2" xfId="1614"/>
    <cellStyle name="Normal 24 3 3" xfId="1455"/>
    <cellStyle name="Normal 24 3 4" xfId="1014"/>
    <cellStyle name="Normal 24 3 5" xfId="1934"/>
    <cellStyle name="Normal 24 4" xfId="1067"/>
    <cellStyle name="Normal 24 4 2" xfId="1508"/>
    <cellStyle name="Normal 24 5" xfId="1349"/>
    <cellStyle name="Normal 24 6" xfId="908"/>
    <cellStyle name="Normal 24 7" xfId="1828"/>
    <cellStyle name="Normal 25" xfId="1307"/>
    <cellStyle name="Normal 25 2" xfId="1745"/>
    <cellStyle name="Normal 26" xfId="1801"/>
    <cellStyle name="Normal 3" xfId="378"/>
    <cellStyle name="Normal 3 2" xfId="379"/>
    <cellStyle name="Normal 3 2 2" xfId="380"/>
    <cellStyle name="Normal 3 2 2 2" xfId="381"/>
    <cellStyle name="Normal 3 2 2 2 2" xfId="382"/>
    <cellStyle name="Normal 3 2 2 3" xfId="383"/>
    <cellStyle name="Normal 3 2 3" xfId="384"/>
    <cellStyle name="Normal 3 2 3 2" xfId="385"/>
    <cellStyle name="Normal 3 2 4" xfId="386"/>
    <cellStyle name="Normal 3 3" xfId="387"/>
    <cellStyle name="Normal 3 3 2" xfId="388"/>
    <cellStyle name="Normal 3 3 2 2" xfId="389"/>
    <cellStyle name="Normal 3 3 2 2 2" xfId="390"/>
    <cellStyle name="Normal 3 3 2 3" xfId="391"/>
    <cellStyle name="Normal 3 3 3" xfId="392"/>
    <cellStyle name="Normal 3 3 3 2" xfId="393"/>
    <cellStyle name="Normal 3 3 4" xfId="394"/>
    <cellStyle name="Normal 3 4" xfId="395"/>
    <cellStyle name="Normal 3 4 2" xfId="396"/>
    <cellStyle name="Normal 3 4 2 2" xfId="397"/>
    <cellStyle name="Normal 3 4 3" xfId="398"/>
    <cellStyle name="Normal 3 5" xfId="399"/>
    <cellStyle name="Normal 3 5 2" xfId="400"/>
    <cellStyle name="Normal 3 6" xfId="401"/>
    <cellStyle name="Normal 30" xfId="893"/>
    <cellStyle name="Normal 31" xfId="1253"/>
    <cellStyle name="Normal 32" xfId="1334"/>
    <cellStyle name="Normal 32 2" xfId="1772"/>
    <cellStyle name="Normal 34" xfId="1787"/>
    <cellStyle name="Normal 4" xfId="402"/>
    <cellStyle name="Normal 4 2" xfId="403"/>
    <cellStyle name="Normal 4 2 2" xfId="404"/>
    <cellStyle name="Normal 4 2 2 2" xfId="405"/>
    <cellStyle name="Normal 4 2 2 2 2" xfId="406"/>
    <cellStyle name="Normal 4 2 2 3" xfId="407"/>
    <cellStyle name="Normal 4 2 3" xfId="408"/>
    <cellStyle name="Normal 4 2 3 2" xfId="409"/>
    <cellStyle name="Normal 4 2 4" xfId="410"/>
    <cellStyle name="Normal 4 3" xfId="411"/>
    <cellStyle name="Normal 4 3 2" xfId="412"/>
    <cellStyle name="Normal 4 3 2 2" xfId="413"/>
    <cellStyle name="Normal 4 3 3" xfId="414"/>
    <cellStyle name="Normal 4 4" xfId="415"/>
    <cellStyle name="Normal 4 4 2" xfId="416"/>
    <cellStyle name="Normal 4 5" xfId="417"/>
    <cellStyle name="Normal 5" xfId="418"/>
    <cellStyle name="Normal 5 2" xfId="419"/>
    <cellStyle name="Normal 5 2 2" xfId="420"/>
    <cellStyle name="Normal 5 2 2 2" xfId="421"/>
    <cellStyle name="Normal 5 2 2 2 2" xfId="422"/>
    <cellStyle name="Normal 5 2 2 3" xfId="423"/>
    <cellStyle name="Normal 5 2 3" xfId="424"/>
    <cellStyle name="Normal 5 2 3 2" xfId="425"/>
    <cellStyle name="Normal 5 2 4" xfId="426"/>
    <cellStyle name="Normal 5 3" xfId="427"/>
    <cellStyle name="Normal 5 3 2" xfId="428"/>
    <cellStyle name="Normal 5 3 2 2" xfId="429"/>
    <cellStyle name="Normal 5 3 3" xfId="430"/>
    <cellStyle name="Normal 5 4" xfId="431"/>
    <cellStyle name="Normal 5 4 2" xfId="432"/>
    <cellStyle name="Normal 5 5" xfId="433"/>
    <cellStyle name="Normal 6" xfId="434"/>
    <cellStyle name="Normal 6 2" xfId="435"/>
    <cellStyle name="Normal 6 2 2" xfId="436"/>
    <cellStyle name="Normal 6 2 2 2" xfId="437"/>
    <cellStyle name="Normal 6 2 2 2 2" xfId="438"/>
    <cellStyle name="Normal 6 2 2 3" xfId="439"/>
    <cellStyle name="Normal 6 2 3" xfId="440"/>
    <cellStyle name="Normal 6 2 3 2" xfId="441"/>
    <cellStyle name="Normal 6 2 4" xfId="442"/>
    <cellStyle name="Normal 6 3" xfId="443"/>
    <cellStyle name="Normal 6 3 2" xfId="444"/>
    <cellStyle name="Normal 6 3 2 2" xfId="445"/>
    <cellStyle name="Normal 6 3 3" xfId="446"/>
    <cellStyle name="Normal 6 4" xfId="447"/>
    <cellStyle name="Normal 6 4 2" xfId="448"/>
    <cellStyle name="Normal 6 5" xfId="449"/>
    <cellStyle name="Normal 7" xfId="450"/>
    <cellStyle name="Normal 7 2" xfId="451"/>
    <cellStyle name="Normal 7 2 2" xfId="452"/>
    <cellStyle name="Normal 7 2 2 2" xfId="453"/>
    <cellStyle name="Normal 7 2 2 2 2" xfId="454"/>
    <cellStyle name="Normal 7 2 2 3" xfId="455"/>
    <cellStyle name="Normal 7 2 3" xfId="456"/>
    <cellStyle name="Normal 7 2 3 2" xfId="457"/>
    <cellStyle name="Normal 7 2 4" xfId="458"/>
    <cellStyle name="Normal 7 3" xfId="459"/>
    <cellStyle name="Normal 7 3 2" xfId="460"/>
    <cellStyle name="Normal 7 3 2 2" xfId="461"/>
    <cellStyle name="Normal 7 3 3" xfId="462"/>
    <cellStyle name="Normal 7 4" xfId="463"/>
    <cellStyle name="Normal 7 4 2" xfId="464"/>
    <cellStyle name="Normal 7 5" xfId="465"/>
    <cellStyle name="Normal 8" xfId="466"/>
    <cellStyle name="Normal 8 2" xfId="467"/>
    <cellStyle name="Normal 8 2 2" xfId="468"/>
    <cellStyle name="Normal 8 2 2 2" xfId="469"/>
    <cellStyle name="Normal 8 2 2 2 2" xfId="470"/>
    <cellStyle name="Normal 8 2 2 3" xfId="471"/>
    <cellStyle name="Normal 8 2 3" xfId="472"/>
    <cellStyle name="Normal 8 2 3 2" xfId="473"/>
    <cellStyle name="Normal 8 2 4" xfId="474"/>
    <cellStyle name="Normal 8 3" xfId="475"/>
    <cellStyle name="Normal 8 3 2" xfId="476"/>
    <cellStyle name="Normal 8 3 2 2" xfId="477"/>
    <cellStyle name="Normal 8 3 2 2 2" xfId="478"/>
    <cellStyle name="Normal 8 3 2 3" xfId="479"/>
    <cellStyle name="Normal 8 3 3" xfId="480"/>
    <cellStyle name="Normal 8 3 3 2" xfId="481"/>
    <cellStyle name="Normal 8 3 4" xfId="482"/>
    <cellStyle name="Normal 8 4" xfId="483"/>
    <cellStyle name="Normal 8 4 2" xfId="484"/>
    <cellStyle name="Normal 8 4 2 2" xfId="485"/>
    <cellStyle name="Normal 8 4 3" xfId="486"/>
    <cellStyle name="Normal 8 5" xfId="487"/>
    <cellStyle name="Normal 8 5 2" xfId="488"/>
    <cellStyle name="Normal 8 6" xfId="489"/>
    <cellStyle name="Normal 9" xfId="490"/>
    <cellStyle name="Normal 9 2" xfId="491"/>
    <cellStyle name="Normal 9 2 2" xfId="492"/>
    <cellStyle name="Normal 9 2 2 2" xfId="493"/>
    <cellStyle name="Normal 9 2 2 2 2" xfId="494"/>
    <cellStyle name="Normal 9 2 2 3" xfId="495"/>
    <cellStyle name="Normal 9 2 3" xfId="496"/>
    <cellStyle name="Normal 9 2 3 2" xfId="497"/>
    <cellStyle name="Normal 9 2 4" xfId="498"/>
    <cellStyle name="Normal 9 3" xfId="499"/>
    <cellStyle name="Normal 9 3 2" xfId="500"/>
    <cellStyle name="Normal 9 3 2 2" xfId="501"/>
    <cellStyle name="Normal 9 3 3" xfId="502"/>
    <cellStyle name="Normal 9 4" xfId="503"/>
    <cellStyle name="Normal 9 4 2" xfId="504"/>
    <cellStyle name="Normal 9 5" xfId="505"/>
    <cellStyle name="Normal_Tables quarterly report 2008" xfId="46"/>
    <cellStyle name="Note 10" xfId="506"/>
    <cellStyle name="Note 10 2" xfId="644"/>
    <cellStyle name="Note 10 2 2" xfId="1108"/>
    <cellStyle name="Note 10 2 2 2" xfId="1549"/>
    <cellStyle name="Note 10 2 3" xfId="1390"/>
    <cellStyle name="Note 10 2 4" xfId="949"/>
    <cellStyle name="Note 10 2 5" xfId="1869"/>
    <cellStyle name="Note 10 3" xfId="787"/>
    <cellStyle name="Note 10 3 2" xfId="1172"/>
    <cellStyle name="Note 10 3 2 2" xfId="1613"/>
    <cellStyle name="Note 10 3 3" xfId="1454"/>
    <cellStyle name="Note 10 3 4" xfId="1013"/>
    <cellStyle name="Note 10 3 5" xfId="1933"/>
    <cellStyle name="Note 10 4" xfId="1066"/>
    <cellStyle name="Note 10 4 2" xfId="1507"/>
    <cellStyle name="Note 10 5" xfId="1348"/>
    <cellStyle name="Note 10 6" xfId="907"/>
    <cellStyle name="Note 10 7" xfId="1827"/>
    <cellStyle name="Note 11" xfId="590"/>
    <cellStyle name="Note 11 2" xfId="711"/>
    <cellStyle name="Note 11 2 2" xfId="1110"/>
    <cellStyle name="Note 11 2 2 2" xfId="1551"/>
    <cellStyle name="Note 11 2 3" xfId="1392"/>
    <cellStyle name="Note 11 2 4" xfId="951"/>
    <cellStyle name="Note 11 2 5" xfId="1871"/>
    <cellStyle name="Note 11 3" xfId="854"/>
    <cellStyle name="Note 11 3 2" xfId="1174"/>
    <cellStyle name="Note 11 3 2 2" xfId="1615"/>
    <cellStyle name="Note 11 3 3" xfId="1456"/>
    <cellStyle name="Note 11 3 4" xfId="1015"/>
    <cellStyle name="Note 11 3 5" xfId="1935"/>
    <cellStyle name="Note 11 4" xfId="1068"/>
    <cellStyle name="Note 11 4 2" xfId="1509"/>
    <cellStyle name="Note 11 5" xfId="1350"/>
    <cellStyle name="Note 11 6" xfId="909"/>
    <cellStyle name="Note 11 7" xfId="1829"/>
    <cellStyle name="Note 12" xfId="603"/>
    <cellStyle name="Note 12 2" xfId="724"/>
    <cellStyle name="Note 12 2 2" xfId="1123"/>
    <cellStyle name="Note 12 2 2 2" xfId="1564"/>
    <cellStyle name="Note 12 2 3" xfId="1405"/>
    <cellStyle name="Note 12 2 4" xfId="964"/>
    <cellStyle name="Note 12 2 5" xfId="1884"/>
    <cellStyle name="Note 12 3" xfId="867"/>
    <cellStyle name="Note 12 3 2" xfId="1187"/>
    <cellStyle name="Note 12 3 2 2" xfId="1628"/>
    <cellStyle name="Note 12 3 3" xfId="1469"/>
    <cellStyle name="Note 12 3 4" xfId="1028"/>
    <cellStyle name="Note 12 3 5" xfId="1948"/>
    <cellStyle name="Note 12 4" xfId="1081"/>
    <cellStyle name="Note 12 4 2" xfId="1522"/>
    <cellStyle name="Note 12 5" xfId="1363"/>
    <cellStyle name="Note 12 6" xfId="922"/>
    <cellStyle name="Note 12 7" xfId="1842"/>
    <cellStyle name="Note 13" xfId="737"/>
    <cellStyle name="Note 13 2" xfId="880"/>
    <cellStyle name="Note 13 2 2" xfId="1200"/>
    <cellStyle name="Note 13 2 2 2" xfId="1641"/>
    <cellStyle name="Note 13 2 3" xfId="1482"/>
    <cellStyle name="Note 13 2 4" xfId="1041"/>
    <cellStyle name="Note 13 2 5" xfId="1961"/>
    <cellStyle name="Note 13 3" xfId="1136"/>
    <cellStyle name="Note 13 3 2" xfId="1577"/>
    <cellStyle name="Note 13 4" xfId="1418"/>
    <cellStyle name="Note 13 5" xfId="977"/>
    <cellStyle name="Note 13 6" xfId="1897"/>
    <cellStyle name="Note 14" xfId="750"/>
    <cellStyle name="Note 14 2" xfId="1149"/>
    <cellStyle name="Note 14 2 2" xfId="1590"/>
    <cellStyle name="Note 14 3" xfId="1431"/>
    <cellStyle name="Note 14 4" xfId="990"/>
    <cellStyle name="Note 14 5" xfId="1910"/>
    <cellStyle name="Note 15" xfId="1213"/>
    <cellStyle name="Note 15 2" xfId="1654"/>
    <cellStyle name="Note 16" xfId="1239"/>
    <cellStyle name="Note 16 2" xfId="1679"/>
    <cellStyle name="Note 17" xfId="1240"/>
    <cellStyle name="Note 17 2" xfId="1680"/>
    <cellStyle name="Note 18" xfId="1255"/>
    <cellStyle name="Note 18 2" xfId="1693"/>
    <cellStyle name="Note 19" xfId="1268"/>
    <cellStyle name="Note 19 2" xfId="1706"/>
    <cellStyle name="Note 2" xfId="507"/>
    <cellStyle name="Note 2 2" xfId="508"/>
    <cellStyle name="Note 2 2 2" xfId="646"/>
    <cellStyle name="Note 2 2 3" xfId="789"/>
    <cellStyle name="Note 2 3" xfId="645"/>
    <cellStyle name="Note 2 4" xfId="788"/>
    <cellStyle name="Note 20" xfId="1281"/>
    <cellStyle name="Note 20 2" xfId="1719"/>
    <cellStyle name="Note 21" xfId="1294"/>
    <cellStyle name="Note 21 2" xfId="1732"/>
    <cellStyle name="Note 22" xfId="1308"/>
    <cellStyle name="Note 22 2" xfId="1746"/>
    <cellStyle name="Note 23" xfId="1321"/>
    <cellStyle name="Note 23 2" xfId="1759"/>
    <cellStyle name="Note 24" xfId="1773"/>
    <cellStyle name="Note 25" xfId="1788"/>
    <cellStyle name="Note 26" xfId="1802"/>
    <cellStyle name="Note 3" xfId="509"/>
    <cellStyle name="Note 3 2" xfId="647"/>
    <cellStyle name="Note 3 3" xfId="790"/>
    <cellStyle name="Note 4" xfId="510"/>
    <cellStyle name="Note 4 2" xfId="648"/>
    <cellStyle name="Note 4 3" xfId="791"/>
    <cellStyle name="Note 5" xfId="511"/>
    <cellStyle name="Note 5 2" xfId="649"/>
    <cellStyle name="Note 5 3" xfId="792"/>
    <cellStyle name="Note 6" xfId="512"/>
    <cellStyle name="Note 6 2" xfId="650"/>
    <cellStyle name="Note 6 3" xfId="793"/>
    <cellStyle name="Note 7" xfId="513"/>
    <cellStyle name="Note 7 2" xfId="651"/>
    <cellStyle name="Note 7 3" xfId="794"/>
    <cellStyle name="Note 8" xfId="514"/>
    <cellStyle name="Note 8 2" xfId="652"/>
    <cellStyle name="Note 8 3" xfId="795"/>
    <cellStyle name="Note 9" xfId="515"/>
    <cellStyle name="Note 9 2" xfId="653"/>
    <cellStyle name="Note 9 3" xfId="796"/>
    <cellStyle name="Output 2" xfId="517"/>
    <cellStyle name="Output 3" xfId="516"/>
    <cellStyle name="Overskrift" xfId="47"/>
    <cellStyle name="Percent" xfId="48" builtinId="5"/>
    <cellStyle name="Percent [0]" xfId="49"/>
    <cellStyle name="Percent 10" xfId="518"/>
    <cellStyle name="Percent 11" xfId="519"/>
    <cellStyle name="Percent 12" xfId="520"/>
    <cellStyle name="Percent 2" xfId="521"/>
    <cellStyle name="Percent 2 2" xfId="522"/>
    <cellStyle name="Percent 2 2 2" xfId="523"/>
    <cellStyle name="Percent 2 2 2 2" xfId="524"/>
    <cellStyle name="Percent 2 2 2 2 2" xfId="525"/>
    <cellStyle name="Percent 2 2 2 2 2 2" xfId="658"/>
    <cellStyle name="Percent 2 2 2 2 2 3" xfId="801"/>
    <cellStyle name="Percent 2 2 2 2 3" xfId="657"/>
    <cellStyle name="Percent 2 2 2 2 4" xfId="800"/>
    <cellStyle name="Percent 2 2 2 3" xfId="526"/>
    <cellStyle name="Percent 2 2 2 3 2" xfId="659"/>
    <cellStyle name="Percent 2 2 2 3 3" xfId="802"/>
    <cellStyle name="Percent 2 2 2 4" xfId="656"/>
    <cellStyle name="Percent 2 2 2 5" xfId="799"/>
    <cellStyle name="Percent 2 2 3" xfId="527"/>
    <cellStyle name="Percent 2 2 3 2" xfId="528"/>
    <cellStyle name="Percent 2 2 3 2 2" xfId="661"/>
    <cellStyle name="Percent 2 2 3 2 3" xfId="804"/>
    <cellStyle name="Percent 2 2 3 3" xfId="660"/>
    <cellStyle name="Percent 2 2 3 4" xfId="803"/>
    <cellStyle name="Percent 2 2 4" xfId="529"/>
    <cellStyle name="Percent 2 2 4 2" xfId="662"/>
    <cellStyle name="Percent 2 2 4 3" xfId="805"/>
    <cellStyle name="Percent 2 2 5" xfId="655"/>
    <cellStyle name="Percent 2 2 6" xfId="798"/>
    <cellStyle name="Percent 2 3" xfId="530"/>
    <cellStyle name="Percent 2 3 2" xfId="531"/>
    <cellStyle name="Percent 2 3 2 2" xfId="532"/>
    <cellStyle name="Percent 2 3 2 2 2" xfId="665"/>
    <cellStyle name="Percent 2 3 2 2 3" xfId="808"/>
    <cellStyle name="Percent 2 3 2 3" xfId="664"/>
    <cellStyle name="Percent 2 3 2 4" xfId="807"/>
    <cellStyle name="Percent 2 3 3" xfId="533"/>
    <cellStyle name="Percent 2 3 3 2" xfId="666"/>
    <cellStyle name="Percent 2 3 3 3" xfId="809"/>
    <cellStyle name="Percent 2 3 4" xfId="663"/>
    <cellStyle name="Percent 2 3 5" xfId="806"/>
    <cellStyle name="Percent 2 4" xfId="534"/>
    <cellStyle name="Percent 2 4 2" xfId="535"/>
    <cellStyle name="Percent 2 4 2 2" xfId="668"/>
    <cellStyle name="Percent 2 4 2 3" xfId="811"/>
    <cellStyle name="Percent 2 4 3" xfId="667"/>
    <cellStyle name="Percent 2 4 4" xfId="810"/>
    <cellStyle name="Percent 2 5" xfId="536"/>
    <cellStyle name="Percent 2 5 2" xfId="669"/>
    <cellStyle name="Percent 2 5 3" xfId="812"/>
    <cellStyle name="Percent 2 6" xfId="654"/>
    <cellStyle name="Percent 2 7" xfId="797"/>
    <cellStyle name="Percent 3" xfId="537"/>
    <cellStyle name="Percent 3 2" xfId="538"/>
    <cellStyle name="Percent 3 2 2" xfId="539"/>
    <cellStyle name="Percent 3 2 2 2" xfId="540"/>
    <cellStyle name="Percent 3 2 2 2 2" xfId="541"/>
    <cellStyle name="Percent 3 2 2 2 2 2" xfId="674"/>
    <cellStyle name="Percent 3 2 2 2 2 3" xfId="817"/>
    <cellStyle name="Percent 3 2 2 2 3" xfId="673"/>
    <cellStyle name="Percent 3 2 2 2 4" xfId="816"/>
    <cellStyle name="Percent 3 2 2 3" xfId="542"/>
    <cellStyle name="Percent 3 2 2 3 2" xfId="675"/>
    <cellStyle name="Percent 3 2 2 3 3" xfId="818"/>
    <cellStyle name="Percent 3 2 2 4" xfId="672"/>
    <cellStyle name="Percent 3 2 2 5" xfId="815"/>
    <cellStyle name="Percent 3 2 3" xfId="543"/>
    <cellStyle name="Percent 3 2 3 2" xfId="544"/>
    <cellStyle name="Percent 3 2 3 2 2" xfId="677"/>
    <cellStyle name="Percent 3 2 3 2 3" xfId="820"/>
    <cellStyle name="Percent 3 2 3 3" xfId="676"/>
    <cellStyle name="Percent 3 2 3 4" xfId="819"/>
    <cellStyle name="Percent 3 2 4" xfId="545"/>
    <cellStyle name="Percent 3 2 4 2" xfId="678"/>
    <cellStyle name="Percent 3 2 4 3" xfId="821"/>
    <cellStyle name="Percent 3 2 5" xfId="671"/>
    <cellStyle name="Percent 3 2 6" xfId="814"/>
    <cellStyle name="Percent 3 3" xfId="546"/>
    <cellStyle name="Percent 3 3 2" xfId="547"/>
    <cellStyle name="Percent 3 3 2 2" xfId="548"/>
    <cellStyle name="Percent 3 3 2 2 2" xfId="681"/>
    <cellStyle name="Percent 3 3 2 2 3" xfId="824"/>
    <cellStyle name="Percent 3 3 2 3" xfId="680"/>
    <cellStyle name="Percent 3 3 2 4" xfId="823"/>
    <cellStyle name="Percent 3 3 3" xfId="549"/>
    <cellStyle name="Percent 3 3 3 2" xfId="682"/>
    <cellStyle name="Percent 3 3 3 3" xfId="825"/>
    <cellStyle name="Percent 3 3 4" xfId="679"/>
    <cellStyle name="Percent 3 3 5" xfId="822"/>
    <cellStyle name="Percent 3 4" xfId="550"/>
    <cellStyle name="Percent 3 4 2" xfId="551"/>
    <cellStyle name="Percent 3 4 2 2" xfId="684"/>
    <cellStyle name="Percent 3 4 2 3" xfId="827"/>
    <cellStyle name="Percent 3 4 3" xfId="683"/>
    <cellStyle name="Percent 3 4 4" xfId="826"/>
    <cellStyle name="Percent 3 5" xfId="552"/>
    <cellStyle name="Percent 3 5 2" xfId="685"/>
    <cellStyle name="Percent 3 5 3" xfId="828"/>
    <cellStyle name="Percent 3 6" xfId="670"/>
    <cellStyle name="Percent 3 7" xfId="813"/>
    <cellStyle name="Percent 4" xfId="553"/>
    <cellStyle name="Percent 4 2" xfId="554"/>
    <cellStyle name="Percent 4 2 2" xfId="555"/>
    <cellStyle name="Percent 4 2 2 2" xfId="556"/>
    <cellStyle name="Percent 4 2 2 2 2" xfId="689"/>
    <cellStyle name="Percent 4 2 2 2 3" xfId="832"/>
    <cellStyle name="Percent 4 2 2 3" xfId="688"/>
    <cellStyle name="Percent 4 2 2 4" xfId="831"/>
    <cellStyle name="Percent 4 2 3" xfId="557"/>
    <cellStyle name="Percent 4 2 3 2" xfId="690"/>
    <cellStyle name="Percent 4 2 3 3" xfId="833"/>
    <cellStyle name="Percent 4 2 4" xfId="687"/>
    <cellStyle name="Percent 4 2 5" xfId="830"/>
    <cellStyle name="Percent 4 3" xfId="558"/>
    <cellStyle name="Percent 4 3 2" xfId="559"/>
    <cellStyle name="Percent 4 3 2 2" xfId="692"/>
    <cellStyle name="Percent 4 3 2 3" xfId="835"/>
    <cellStyle name="Percent 4 3 3" xfId="691"/>
    <cellStyle name="Percent 4 3 4" xfId="834"/>
    <cellStyle name="Percent 4 4" xfId="560"/>
    <cellStyle name="Percent 4 4 2" xfId="693"/>
    <cellStyle name="Percent 4 4 3" xfId="836"/>
    <cellStyle name="Percent 4 5" xfId="686"/>
    <cellStyle name="Percent 4 6" xfId="829"/>
    <cellStyle name="Percent 5" xfId="561"/>
    <cellStyle name="Percent 6" xfId="562"/>
    <cellStyle name="Percent 7" xfId="563"/>
    <cellStyle name="Percent 8" xfId="564"/>
    <cellStyle name="Percent 9" xfId="565"/>
    <cellStyle name="Prosent 3" xfId="1979"/>
    <cellStyle name="Stil 1" xfId="54"/>
    <cellStyle name="Stil 1 2" xfId="566"/>
    <cellStyle name="Style 1" xfId="567"/>
    <cellStyle name="Tabelltittel" xfId="568"/>
    <cellStyle name="Title" xfId="56" builtinId="15" customBuiltin="1"/>
    <cellStyle name="Total 2" xfId="570"/>
    <cellStyle name="Total 3" xfId="569"/>
    <cellStyle name="Tusenskille 2" xfId="571"/>
    <cellStyle name="Tusenskille 2 2" xfId="572"/>
    <cellStyle name="Tusenskille 2 2 2" xfId="573"/>
    <cellStyle name="Tusenskille 2 2 2 2" xfId="574"/>
    <cellStyle name="Tusenskille 2 2 2 2 2" xfId="575"/>
    <cellStyle name="Tusenskille 2 2 2 2 2 2" xfId="698"/>
    <cellStyle name="Tusenskille 2 2 2 2 2 3" xfId="841"/>
    <cellStyle name="Tusenskille 2 2 2 2 3" xfId="697"/>
    <cellStyle name="Tusenskille 2 2 2 2 4" xfId="840"/>
    <cellStyle name="Tusenskille 2 2 2 3" xfId="576"/>
    <cellStyle name="Tusenskille 2 2 2 3 2" xfId="699"/>
    <cellStyle name="Tusenskille 2 2 2 3 3" xfId="842"/>
    <cellStyle name="Tusenskille 2 2 2 4" xfId="696"/>
    <cellStyle name="Tusenskille 2 2 2 5" xfId="839"/>
    <cellStyle name="Tusenskille 2 2 3" xfId="577"/>
    <cellStyle name="Tusenskille 2 2 3 2" xfId="578"/>
    <cellStyle name="Tusenskille 2 2 3 2 2" xfId="701"/>
    <cellStyle name="Tusenskille 2 2 3 2 3" xfId="844"/>
    <cellStyle name="Tusenskille 2 2 3 3" xfId="700"/>
    <cellStyle name="Tusenskille 2 2 3 4" xfId="843"/>
    <cellStyle name="Tusenskille 2 2 4" xfId="579"/>
    <cellStyle name="Tusenskille 2 2 4 2" xfId="702"/>
    <cellStyle name="Tusenskille 2 2 4 3" xfId="845"/>
    <cellStyle name="Tusenskille 2 2 5" xfId="695"/>
    <cellStyle name="Tusenskille 2 2 6" xfId="838"/>
    <cellStyle name="Tusenskille 2 3" xfId="580"/>
    <cellStyle name="Tusenskille 2 3 2" xfId="581"/>
    <cellStyle name="Tusenskille 2 3 2 2" xfId="582"/>
    <cellStyle name="Tusenskille 2 3 2 2 2" xfId="705"/>
    <cellStyle name="Tusenskille 2 3 2 2 3" xfId="848"/>
    <cellStyle name="Tusenskille 2 3 2 3" xfId="704"/>
    <cellStyle name="Tusenskille 2 3 2 4" xfId="847"/>
    <cellStyle name="Tusenskille 2 3 3" xfId="583"/>
    <cellStyle name="Tusenskille 2 3 3 2" xfId="706"/>
    <cellStyle name="Tusenskille 2 3 3 3" xfId="849"/>
    <cellStyle name="Tusenskille 2 3 4" xfId="703"/>
    <cellStyle name="Tusenskille 2 3 5" xfId="846"/>
    <cellStyle name="Tusenskille 2 4" xfId="584"/>
    <cellStyle name="Tusenskille 2 4 2" xfId="585"/>
    <cellStyle name="Tusenskille 2 4 2 2" xfId="708"/>
    <cellStyle name="Tusenskille 2 4 2 3" xfId="851"/>
    <cellStyle name="Tusenskille 2 4 3" xfId="707"/>
    <cellStyle name="Tusenskille 2 4 4" xfId="850"/>
    <cellStyle name="Tusenskille 2 5" xfId="586"/>
    <cellStyle name="Tusenskille 2 5 2" xfId="709"/>
    <cellStyle name="Tusenskille 2 5 3" xfId="852"/>
    <cellStyle name="Tusenskille 2 6" xfId="694"/>
    <cellStyle name="Tusenskille 2 7" xfId="837"/>
    <cellStyle name="Tusenskille_0610 Report tables" xfId="1974"/>
    <cellStyle name="Warning Text 2" xfId="588"/>
    <cellStyle name="Warning Text 3" xfId="587"/>
    <cellStyle name="Årstal" xfId="50"/>
    <cellStyle name="Обычный_Лист2" xfId="51"/>
    <cellStyle name="Финансовый_Лист2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FF"/>
      <rgbColor rgb="00DDD3AF"/>
      <rgbColor rgb="00A2AD00"/>
      <rgbColor rgb="00825C26"/>
      <rgbColor rgb="00808080"/>
      <rgbColor rgb="00000000"/>
      <rgbColor rgb="000066CC"/>
      <rgbColor rgb="00FFFFFF"/>
      <rgbColor rgb="00E0D6B5"/>
      <rgbColor rgb="00C9B582"/>
      <rgbColor rgb="00FFFF00"/>
      <rgbColor rgb="0000FFFF"/>
      <rgbColor rgb="00DEF3FE"/>
      <rgbColor rgb="0098C3F6"/>
      <rgbColor rgb="00E6D7D4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DCE6F1"/>
      <color rgb="FF0099FF"/>
      <color rgb="FF28F84B"/>
      <color rgb="FFFFFF99"/>
      <color rgb="FF800080"/>
      <color rgb="FF99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EBITDA boi Contribution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dLbl>
              <c:idx val="10"/>
              <c:layout>
                <c:manualLayout>
                  <c:x val="0"/>
                  <c:y val="8.0083579725088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93-4762-ACEA-B13134DD4D76}"/>
                </c:ext>
              </c:extLst>
            </c:dLbl>
            <c:dLbl>
              <c:idx val="11"/>
              <c:layout>
                <c:manualLayout>
                  <c:x val="0"/>
                  <c:y val="7.754398064373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93-4762-ACEA-B13134DD4D76}"/>
                </c:ext>
              </c:extLst>
            </c:dLbl>
            <c:dLbl>
              <c:idx val="13"/>
              <c:layout>
                <c:manualLayout>
                  <c:x val="0"/>
                  <c:y val="0.11924137515050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93-4762-ACEA-B13134DD4D76}"/>
                </c:ext>
              </c:extLst>
            </c:dLbl>
            <c:dLbl>
              <c:idx val="14"/>
              <c:layout>
                <c:manualLayout>
                  <c:x val="0"/>
                  <c:y val="9.22924903434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93-4762-ACEA-B13134DD4D76}"/>
                </c:ext>
              </c:extLst>
            </c:dLbl>
            <c:dLbl>
              <c:idx val="15"/>
              <c:layout>
                <c:manualLayout>
                  <c:x val="-2.5559105431309905E-3"/>
                  <c:y val="5.33242037301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93-4762-ACEA-B13134DD4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'EBITDA Contribution -brukes den'!$C$7:$C$21</c:f>
              <c:strCache>
                <c:ptCount val="15"/>
                <c:pt idx="0">
                  <c:v>Norway</c:v>
                </c:pt>
                <c:pt idx="1">
                  <c:v>Sweden</c:v>
                </c:pt>
                <c:pt idx="2">
                  <c:v>Denmark</c:v>
                </c:pt>
                <c:pt idx="3">
                  <c:v>Telenor - Hungary</c:v>
                </c:pt>
                <c:pt idx="4">
                  <c:v>Globul - Bulgaria</c:v>
                </c:pt>
                <c:pt idx="5">
                  <c:v>Montenegro &amp; Serbia</c:v>
                </c:pt>
                <c:pt idx="6">
                  <c:v>DTAC - Thailand</c:v>
                </c:pt>
                <c:pt idx="7">
                  <c:v>DiGi - Malaysia</c:v>
                </c:pt>
                <c:pt idx="8">
                  <c:v>Grameenphone - Bangladesh</c:v>
                </c:pt>
                <c:pt idx="9">
                  <c:v>Pakistan</c:v>
                </c:pt>
                <c:pt idx="10">
                  <c:v>India</c:v>
                </c:pt>
                <c:pt idx="11">
                  <c:v>Myanmar</c:v>
                </c:pt>
                <c:pt idx="12">
                  <c:v>Broadcast</c:v>
                </c:pt>
                <c:pt idx="13">
                  <c:v>Other operations</c:v>
                </c:pt>
                <c:pt idx="14">
                  <c:v>Eliminations</c:v>
                </c:pt>
              </c:strCache>
            </c:strRef>
          </c:cat>
          <c:val>
            <c:numRef>
              <c:f>'EBITDA Contribution -brukes den'!$E$7:$E$21</c:f>
              <c:numCache>
                <c:formatCode>0.0\ 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3-4762-ACEA-B13134DD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01568"/>
        <c:axId val="147103104"/>
      </c:barChart>
      <c:catAx>
        <c:axId val="14710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b-NO"/>
          </a:p>
        </c:txPr>
        <c:crossAx val="147103104"/>
        <c:crosses val="autoZero"/>
        <c:auto val="1"/>
        <c:lblAlgn val="ctr"/>
        <c:lblOffset val="100"/>
        <c:noMultiLvlLbl val="0"/>
      </c:catAx>
      <c:valAx>
        <c:axId val="147103104"/>
        <c:scaling>
          <c:orientation val="minMax"/>
        </c:scaling>
        <c:delete val="0"/>
        <c:axPos val="l"/>
        <c:numFmt formatCode="0.0\ %" sourceLinked="1"/>
        <c:majorTickMark val="out"/>
        <c:minorTickMark val="none"/>
        <c:tickLblPos val="nextTo"/>
        <c:crossAx val="14710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CAPEX Share</a:t>
            </a:r>
          </a:p>
        </c:rich>
      </c:tx>
      <c:layout>
        <c:manualLayout>
          <c:xMode val="edge"/>
          <c:yMode val="edge"/>
          <c:x val="0.40463200118853077"/>
          <c:y val="2.168019829699481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'EBITDA Contribution -brukes den'!$C$27:$C$40</c:f>
              <c:strCache>
                <c:ptCount val="14"/>
                <c:pt idx="0">
                  <c:v>Norway</c:v>
                </c:pt>
                <c:pt idx="1">
                  <c:v>Sweden</c:v>
                </c:pt>
                <c:pt idx="2">
                  <c:v>Denmark</c:v>
                </c:pt>
                <c:pt idx="3">
                  <c:v>Telenor - Hungary</c:v>
                </c:pt>
                <c:pt idx="4">
                  <c:v>Globul - Bulgaria</c:v>
                </c:pt>
                <c:pt idx="5">
                  <c:v>Montenegro &amp; Serbia</c:v>
                </c:pt>
                <c:pt idx="6">
                  <c:v>DTAC - Thailand</c:v>
                </c:pt>
                <c:pt idx="7">
                  <c:v>DiGi - Malaysia</c:v>
                </c:pt>
                <c:pt idx="8">
                  <c:v>Grameenphone - Bangladesh</c:v>
                </c:pt>
                <c:pt idx="9">
                  <c:v>Pakistan</c:v>
                </c:pt>
                <c:pt idx="10">
                  <c:v>India</c:v>
                </c:pt>
                <c:pt idx="11">
                  <c:v>Myanmar</c:v>
                </c:pt>
                <c:pt idx="12">
                  <c:v>Broadcast</c:v>
                </c:pt>
                <c:pt idx="13">
                  <c:v>Other operations</c:v>
                </c:pt>
              </c:strCache>
            </c:strRef>
          </c:cat>
          <c:val>
            <c:numRef>
              <c:f>'EBITDA Contribution -brukes den'!$E$27:$E$40</c:f>
              <c:numCache>
                <c:formatCode>0.0\ 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3-448A-B218-D0BDD0434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27680"/>
        <c:axId val="150107264"/>
      </c:barChart>
      <c:catAx>
        <c:axId val="14712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107264"/>
        <c:crosses val="autoZero"/>
        <c:auto val="1"/>
        <c:lblAlgn val="ctr"/>
        <c:lblOffset val="100"/>
        <c:noMultiLvlLbl val="0"/>
      </c:catAx>
      <c:valAx>
        <c:axId val="150107264"/>
        <c:scaling>
          <c:orientation val="minMax"/>
        </c:scaling>
        <c:delete val="0"/>
        <c:axPos val="l"/>
        <c:numFmt formatCode="0.0\ %" sourceLinked="1"/>
        <c:majorTickMark val="out"/>
        <c:minorTickMark val="none"/>
        <c:tickLblPos val="nextTo"/>
        <c:crossAx val="1471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OCF Contribution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360124795721296E-2"/>
          <c:y val="0.12306321934042734"/>
          <c:w val="0.89254553558163718"/>
          <c:h val="0.854724462319701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dLbl>
              <c:idx val="10"/>
              <c:layout>
                <c:manualLayout>
                  <c:x val="-1.8867924528301887E-3"/>
                  <c:y val="0.108400991484974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10-46D4-8E43-E7BAEC7B1529}"/>
                </c:ext>
              </c:extLst>
            </c:dLbl>
            <c:dLbl>
              <c:idx val="13"/>
              <c:layout>
                <c:manualLayout>
                  <c:x val="3.7735849056603774E-3"/>
                  <c:y val="-1.4323788276707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0-46D4-8E43-E7BAEC7B15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'EBITDA Contribution -brukes den'!$C$48:$C$61</c:f>
              <c:strCache>
                <c:ptCount val="14"/>
                <c:pt idx="0">
                  <c:v>Norway</c:v>
                </c:pt>
                <c:pt idx="1">
                  <c:v>Sweden</c:v>
                </c:pt>
                <c:pt idx="2">
                  <c:v>Denmark</c:v>
                </c:pt>
                <c:pt idx="3">
                  <c:v>Telenor - Hungary</c:v>
                </c:pt>
                <c:pt idx="4">
                  <c:v>Globul - Bulgaria</c:v>
                </c:pt>
                <c:pt idx="5">
                  <c:v>Montenegro &amp; Serbia</c:v>
                </c:pt>
                <c:pt idx="6">
                  <c:v>DTAC - Thailand</c:v>
                </c:pt>
                <c:pt idx="7">
                  <c:v>DiGi - Malaysia</c:v>
                </c:pt>
                <c:pt idx="8">
                  <c:v>Grameenphone - Bangladesh</c:v>
                </c:pt>
                <c:pt idx="9">
                  <c:v>Pakistan</c:v>
                </c:pt>
                <c:pt idx="10">
                  <c:v>India</c:v>
                </c:pt>
                <c:pt idx="11">
                  <c:v>Myanmar</c:v>
                </c:pt>
                <c:pt idx="12">
                  <c:v>Broadcast</c:v>
                </c:pt>
                <c:pt idx="13">
                  <c:v>Other operations</c:v>
                </c:pt>
              </c:strCache>
            </c:strRef>
          </c:cat>
          <c:val>
            <c:numRef>
              <c:f>'EBITDA Contribution -brukes den'!$E$48:$E$61</c:f>
              <c:numCache>
                <c:formatCode>0.0\ 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0-46D4-8E43-E7BAEC7B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15456"/>
        <c:axId val="150116992"/>
      </c:barChart>
      <c:catAx>
        <c:axId val="15011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116992"/>
        <c:crosses val="autoZero"/>
        <c:auto val="1"/>
        <c:lblAlgn val="ctr"/>
        <c:lblOffset val="100"/>
        <c:noMultiLvlLbl val="0"/>
      </c:catAx>
      <c:valAx>
        <c:axId val="150116992"/>
        <c:scaling>
          <c:orientation val="minMax"/>
        </c:scaling>
        <c:delete val="0"/>
        <c:axPos val="l"/>
        <c:numFmt formatCode="0.0\ %" sourceLinked="1"/>
        <c:majorTickMark val="out"/>
        <c:minorTickMark val="none"/>
        <c:tickLblPos val="nextTo"/>
        <c:crossAx val="15011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</xdr:row>
      <xdr:rowOff>41272</xdr:rowOff>
    </xdr:from>
    <xdr:to>
      <xdr:col>21</xdr:col>
      <xdr:colOff>169332</xdr:colOff>
      <xdr:row>22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23</xdr:row>
      <xdr:rowOff>74082</xdr:rowOff>
    </xdr:from>
    <xdr:to>
      <xdr:col>21</xdr:col>
      <xdr:colOff>169333</xdr:colOff>
      <xdr:row>42</xdr:row>
      <xdr:rowOff>96310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201084</xdr:colOff>
      <xdr:row>44</xdr:row>
      <xdr:rowOff>74083</xdr:rowOff>
    </xdr:from>
    <xdr:to>
      <xdr:col>21</xdr:col>
      <xdr:colOff>179917</xdr:colOff>
      <xdr:row>63</xdr:row>
      <xdr:rowOff>128061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TAB-U2-50-002\DATA1\KOE\KATALOG\GENERELL\ARKIV-ID\TTSEFJ\AARSPAK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-fbu-2f-004.corp.telenor.no\kon-data$\Tell-Us%20Adm-Store-Kunder\&#216;konomi\Periodeavslutning\Res%20Kundedimensjon%202002P2%20EBITD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Tell-Us%20Adm-Store-Kunder/&#216;konomi/Periodeavslutning/Res%20Kundedimensjon%202002P2%20EBIT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-fbu-2f-004.corp.telenor.no\kon-data$\Documents%20and%20Settings\t539562\Local%20Settings\Temporary%20Internet%20Files\OLK9\&#216;k%20per%20kontrakt%20-%20tapsavsetn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Documents%20and%20Settings/t539562/Local%20Settings/Temporary%20Internet%20Files/OLK9/&#216;k%20per%20kontrakt%20-%20tapsavsetn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BM/Vimpelcom/Budget/2004/Package%20Budget%202004%20SUB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Koe/Katalog/RAPPORT/Mnd-00/Diverse/maler/Rapportpakke%20Excel%20kvar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-fbu-2f-004.corp.telenor.no\kon-data$\Koe\Katalog\RAPPORT\Mnd-00\Diverse\maler\Rapportpakke%20Excel%20kvar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-fbu-2f-004.corp.telenor.no\kon-data$\HK_OKOK\Bud_rapp\MNDRAPP\2000\0004\Utrapportert\pres0004%20Business%20Solu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HK_OKOK/Bud_rapp/MNDRAPP/2000/0004/Utrapportert/pres0004%20Business%20Sol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eRoomReq/Files/mHorizon/BusinessAnalysis/0_25fba/0412%20DS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Grunndata"/>
      <sheetName val="tot"/>
      <sheetName val="CAPEX LRBP_Input"/>
      <sheetName val="Forside"/>
      <sheetName val="Front"/>
      <sheetName val="Sheet-8"/>
      <sheetName val="สรุปราคาค่าก่อสร้าง"/>
      <sheetName val="TB-2001-Apr'01"/>
      <sheetName val="TrialBalance Q3-2002"/>
      <sheetName val="1602-97"/>
      <sheetName val="19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Business Sol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Asia-Pacific"/>
      <sheetName val="China-India"/>
      <sheetName val="Eastern Europe"/>
      <sheetName val="Latin America"/>
      <sheetName val="MEA"/>
      <sheetName val="North America"/>
      <sheetName val="Western Europe"/>
      <sheetName val="World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WirelessMature"/>
      <sheetName val="IntegratedTelco"/>
      <sheetName val="Broadband"/>
      <sheetName val="WirelessEmerging"/>
      <sheetName val="Tabl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F_STAT"/>
      <sheetName val="Revenue Q"/>
      <sheetName val="Gross Margin Q"/>
      <sheetName val="EBITDA Q"/>
      <sheetName val="EBITDA% Q"/>
      <sheetName val="Net Result"/>
      <sheetName val="Capex Q"/>
      <sheetName val="Subs Q"/>
      <sheetName val="ARPU Q"/>
      <sheetName val="Market Share"/>
      <sheetName val="Capex details"/>
      <sheetName val="Network KPIs"/>
      <sheetName val="fra januar 2003"/>
      <sheetName val="A-sted"/>
      <sheetName val="K-kost"/>
      <sheetName val="Actual_month"/>
      <sheetName val="Actual_YTD"/>
      <sheetName val="Budget_month"/>
      <sheetName val="Budget_YTD"/>
      <sheetName val="Forecast 2000"/>
      <sheetName val="Weights"/>
      <sheetName val="Total Pre"/>
      <sheetName val="CaseOppsummering"/>
      <sheetName val="Prosjektregnskap"/>
      <sheetName val="Resources &amp; Targets"/>
      <sheetName val="Fixed Assets"/>
      <sheetName val="Own CC Costs"/>
      <sheetName val="1998AMC"/>
      <sheetName val="Support Costs &amp; TC Tr.days"/>
      <sheetName val="FF-1"/>
      <sheetName val="factor"/>
      <sheetName val="Budsjettoversikt"/>
      <sheetName val="Konton"/>
      <sheetName val="2015 estimates"/>
      <sheetName val="Category"/>
      <sheetName val="list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IC-PL"/>
      <sheetName val="EXT-INC"/>
      <sheetName val="TRAF-COST"/>
      <sheetName val="INT-traf-cost"/>
      <sheetName val="OWN-WORK-CAP"/>
      <sheetName val="PAYROLL"/>
      <sheetName val="OPR-COST"/>
      <sheetName val="INT-OPR-COST"/>
      <sheetName val="FIN-PL"/>
      <sheetName val="Investments"/>
      <sheetName val="M-BALANCE"/>
      <sheetName val="IC-BAL"/>
      <sheetName val="CASH"/>
      <sheetName val="PROVISIONS"/>
      <sheetName val="EQUITY"/>
      <sheetName val="COMMITMENTS"/>
      <sheetName val="PERS-ADD"/>
      <sheetName val="AQUISITIONS"/>
      <sheetName val="Statistics"/>
      <sheetName val="Definitions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IC-PL"/>
      <sheetName val="EXT-INC"/>
      <sheetName val="TRAF-COST"/>
      <sheetName val="INT-traf-cost"/>
      <sheetName val="OWN-WORK-CAP"/>
      <sheetName val="PAYROLL"/>
      <sheetName val="OPR-COST"/>
      <sheetName val="INT-OPR-COST"/>
      <sheetName val="FIN-PL"/>
      <sheetName val="Investments"/>
      <sheetName val="M-BALANCE"/>
      <sheetName val="IC-BAL"/>
      <sheetName val="CASH"/>
      <sheetName val="PROVISIONS"/>
      <sheetName val="EQUITY"/>
      <sheetName val="COMMITMENTS"/>
      <sheetName val="PERS-ADD"/>
      <sheetName val="AQUISITIONS"/>
      <sheetName val="Statistics"/>
      <sheetName val="Definitions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  <sheetName val="Front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Valutakurs"/>
      <sheetName val="Total"/>
      <sheetName val="Pannon"/>
      <sheetName val="DIGI "/>
      <sheetName val="Kyvistar"/>
      <sheetName val="Pakistan (Nederl.)"/>
      <sheetName val="Pakistan (pak.)"/>
      <sheetName val="Sonofon"/>
      <sheetName val="Minoritet_merverd"/>
      <sheetName val="djuice.se"/>
      <sheetName val="TMI USA"/>
      <sheetName val="Pannon Merverdi"/>
      <sheetName val="Digi Merverdi"/>
      <sheetName val="Kyivstar Merverdi"/>
      <sheetName val="Sonofon Merv"/>
      <sheetName val="Sonofon Merv NY"/>
      <sheetName val="Sonofon Merv NY Feb"/>
      <sheetName val="IFRS pakke ER"/>
      <sheetName val="Sonofon Merv IFRS"/>
      <sheetName val="Asset Y WSN"/>
      <sheetName val="Sonofon Merv IFRS (Innlegging )"/>
      <sheetName val="Sonofon excess value ny PPA"/>
      <sheetName val="Sonofon Merv USGAAP"/>
      <sheetName val="Sonofon Merv USGAAP (2)"/>
      <sheetName val="Promote Merv"/>
      <sheetName val="Sonofon Merv NY Feb (2)"/>
    </sheetNames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B1:AR109"/>
  <sheetViews>
    <sheetView showGridLines="0" topLeftCell="A88" zoomScale="75" workbookViewId="0">
      <pane xSplit="3" topLeftCell="D1" activePane="topRight" state="frozen"/>
      <selection activeCell="BZ407" sqref="BZ407"/>
      <selection pane="topRight" activeCell="X33" sqref="X33"/>
    </sheetView>
  </sheetViews>
  <sheetFormatPr defaultColWidth="11.453125" defaultRowHeight="15.5" outlineLevelCol="1"/>
  <cols>
    <col min="1" max="1" width="4.453125" style="13" customWidth="1"/>
    <col min="2" max="2" width="54" style="13" customWidth="1"/>
    <col min="3" max="3" width="12.26953125" style="13" customWidth="1"/>
    <col min="4" max="4" width="3.453125" style="5" customWidth="1"/>
    <col min="5" max="5" width="10.81640625" style="5" bestFit="1" customWidth="1"/>
    <col min="6" max="6" width="11" style="5" bestFit="1" customWidth="1"/>
    <col min="7" max="7" width="9.453125" style="5" bestFit="1" customWidth="1"/>
    <col min="8" max="8" width="11" style="5" bestFit="1" customWidth="1"/>
    <col min="9" max="9" width="3.453125" style="5" customWidth="1"/>
    <col min="10" max="10" width="8.7265625" style="67" customWidth="1" outlineLevel="1"/>
    <col min="11" max="11" width="8.7265625" style="83" customWidth="1" outlineLevel="1"/>
    <col min="12" max="13" width="9.453125" style="67" customWidth="1" outlineLevel="1"/>
    <col min="14" max="14" width="3.453125" style="5" customWidth="1"/>
    <col min="15" max="15" width="12.26953125" style="67" hidden="1" customWidth="1" outlineLevel="1"/>
    <col min="16" max="16" width="12.26953125" style="83" hidden="1" customWidth="1" outlineLevel="1"/>
    <col min="17" max="18" width="12.26953125" style="67" hidden="1" customWidth="1" outlineLevel="1"/>
    <col min="19" max="19" width="3.453125" style="5" customWidth="1" collapsed="1"/>
    <col min="20" max="20" width="12.26953125" style="3" hidden="1" customWidth="1" outlineLevel="1"/>
    <col min="21" max="21" width="12.26953125" style="13" hidden="1" customWidth="1" outlineLevel="1"/>
    <col min="22" max="23" width="12.26953125" style="3" hidden="1" customWidth="1" outlineLevel="1"/>
    <col min="24" max="24" width="3.453125" style="5" customWidth="1" collapsed="1"/>
    <col min="25" max="26" width="9.453125" style="5" bestFit="1" customWidth="1"/>
    <col min="27" max="28" width="11" style="5" bestFit="1" customWidth="1"/>
    <col min="29" max="29" width="3.453125" style="5" customWidth="1"/>
    <col min="30" max="33" width="11.81640625" style="3" customWidth="1" outlineLevel="1"/>
    <col min="34" max="34" width="3.453125" style="5" customWidth="1"/>
    <col min="35" max="38" width="11.81640625" style="3" hidden="1" customWidth="1" outlineLevel="1"/>
    <col min="39" max="39" width="3.453125" style="5" customWidth="1" collapsed="1"/>
    <col min="40" max="43" width="11.81640625" style="3" hidden="1" customWidth="1" outlineLevel="1"/>
    <col min="44" max="44" width="2.81640625" style="5" customWidth="1" collapsed="1"/>
    <col min="45" max="16384" width="11.453125" style="13"/>
  </cols>
  <sheetData>
    <row r="1" spans="2:44" s="47" customFormat="1">
      <c r="D1" s="49"/>
      <c r="E1" s="49"/>
      <c r="F1" s="49"/>
      <c r="G1" s="49"/>
      <c r="H1" s="49"/>
      <c r="I1" s="49"/>
      <c r="J1" s="66"/>
      <c r="K1" s="79"/>
      <c r="L1" s="66"/>
      <c r="M1" s="66"/>
      <c r="N1" s="49"/>
      <c r="O1" s="66"/>
      <c r="P1" s="79"/>
      <c r="Q1" s="66"/>
      <c r="R1" s="66"/>
      <c r="S1" s="49"/>
      <c r="T1" s="48"/>
      <c r="V1" s="48"/>
      <c r="W1" s="48"/>
      <c r="X1" s="49"/>
      <c r="Y1" s="49"/>
      <c r="Z1" s="49"/>
      <c r="AA1" s="49"/>
      <c r="AB1" s="49"/>
      <c r="AC1" s="49"/>
      <c r="AD1" s="48"/>
      <c r="AE1" s="48"/>
      <c r="AF1" s="48"/>
      <c r="AG1" s="48"/>
      <c r="AH1" s="49"/>
      <c r="AI1" s="48"/>
      <c r="AJ1" s="48"/>
      <c r="AK1" s="48"/>
      <c r="AL1" s="48"/>
      <c r="AM1" s="49"/>
      <c r="AN1" s="48"/>
      <c r="AO1" s="48"/>
      <c r="AP1" s="48"/>
      <c r="AQ1" s="48"/>
      <c r="AR1" s="49"/>
    </row>
    <row r="2" spans="2:44" s="5" customFormat="1">
      <c r="J2" s="72"/>
      <c r="K2" s="72"/>
      <c r="L2" s="72"/>
      <c r="M2" s="72"/>
      <c r="O2" s="72"/>
      <c r="P2" s="72"/>
      <c r="Q2" s="72"/>
      <c r="R2" s="72"/>
    </row>
    <row r="3" spans="2:44" ht="18">
      <c r="B3" s="16"/>
      <c r="C3" s="16"/>
      <c r="D3" s="50"/>
      <c r="E3" s="50"/>
      <c r="F3" s="50"/>
      <c r="G3" s="50"/>
      <c r="H3" s="50"/>
      <c r="I3" s="50"/>
      <c r="J3" s="80"/>
      <c r="K3" s="81"/>
      <c r="L3" s="80"/>
      <c r="M3" s="80"/>
      <c r="N3" s="50"/>
      <c r="O3" s="80"/>
      <c r="P3" s="81"/>
      <c r="Q3" s="80"/>
      <c r="R3" s="80"/>
      <c r="S3" s="50"/>
      <c r="T3" s="17"/>
      <c r="U3" s="16"/>
      <c r="V3" s="17"/>
      <c r="W3" s="17"/>
      <c r="X3" s="50"/>
      <c r="Y3" s="50"/>
      <c r="Z3" s="50"/>
      <c r="AA3" s="50"/>
      <c r="AB3" s="50"/>
      <c r="AC3" s="50"/>
      <c r="AD3" s="7"/>
      <c r="AE3" s="7"/>
      <c r="AF3" s="7"/>
      <c r="AG3" s="7"/>
      <c r="AH3" s="50"/>
      <c r="AI3" s="7"/>
      <c r="AJ3" s="7"/>
      <c r="AK3" s="7"/>
      <c r="AL3" s="7"/>
      <c r="AM3" s="50"/>
      <c r="AN3" s="7"/>
      <c r="AO3" s="7"/>
      <c r="AP3" s="7"/>
      <c r="AQ3" s="7"/>
      <c r="AR3" s="50"/>
    </row>
    <row r="4" spans="2:44">
      <c r="B4" s="23" t="s">
        <v>378</v>
      </c>
      <c r="C4" s="78" t="e">
        <f>VALUE("20"&amp;LEFT(#REF!,2))</f>
        <v>#REF!</v>
      </c>
      <c r="D4" s="18"/>
      <c r="E4" s="68" t="s">
        <v>376</v>
      </c>
      <c r="F4" s="69"/>
      <c r="G4" s="69"/>
      <c r="H4" s="69"/>
      <c r="I4" s="18"/>
      <c r="J4" s="92"/>
      <c r="K4" s="92" t="s">
        <v>376</v>
      </c>
      <c r="L4" s="69"/>
      <c r="M4" s="69"/>
      <c r="N4" s="18"/>
      <c r="O4" s="68" t="s">
        <v>376</v>
      </c>
      <c r="P4" s="69"/>
      <c r="Q4" s="69"/>
      <c r="R4" s="69"/>
      <c r="S4" s="18"/>
      <c r="T4" s="68" t="s">
        <v>376</v>
      </c>
      <c r="U4" s="24"/>
      <c r="V4" s="24"/>
      <c r="W4" s="24"/>
      <c r="X4" s="18"/>
      <c r="Y4" s="23" t="s">
        <v>377</v>
      </c>
      <c r="Z4" s="24"/>
      <c r="AA4" s="24"/>
      <c r="AB4" s="24"/>
      <c r="AC4" s="18"/>
      <c r="AD4" s="23" t="s">
        <v>377</v>
      </c>
      <c r="AE4" s="24"/>
      <c r="AF4" s="24"/>
      <c r="AG4" s="24"/>
      <c r="AH4" s="18"/>
      <c r="AI4" s="23" t="s">
        <v>377</v>
      </c>
      <c r="AJ4" s="24"/>
      <c r="AK4" s="24"/>
      <c r="AL4" s="24"/>
      <c r="AM4" s="18"/>
      <c r="AN4" s="23" t="s">
        <v>377</v>
      </c>
      <c r="AO4" s="24"/>
      <c r="AP4" s="24"/>
      <c r="AQ4" s="24"/>
      <c r="AR4" s="18"/>
    </row>
    <row r="5" spans="2:44" s="3" customFormat="1">
      <c r="B5" s="42"/>
      <c r="C5" s="46"/>
      <c r="D5" s="44"/>
      <c r="E5" s="74"/>
      <c r="F5" s="75"/>
      <c r="G5" s="75"/>
      <c r="H5" s="75"/>
      <c r="I5" s="44"/>
      <c r="J5" s="74"/>
      <c r="K5" s="75"/>
      <c r="L5" s="75"/>
      <c r="M5" s="75"/>
      <c r="N5" s="44"/>
      <c r="O5" s="74"/>
      <c r="P5" s="75"/>
      <c r="Q5" s="75"/>
      <c r="R5" s="75"/>
      <c r="S5" s="44"/>
      <c r="T5" s="43"/>
      <c r="U5" s="44"/>
      <c r="V5" s="44"/>
      <c r="W5" s="44"/>
      <c r="X5" s="44"/>
      <c r="Y5" s="43"/>
      <c r="Z5" s="44"/>
      <c r="AA5" s="44"/>
      <c r="AB5" s="44"/>
      <c r="AC5" s="44"/>
      <c r="AD5" s="43"/>
      <c r="AE5" s="44"/>
      <c r="AF5" s="44"/>
      <c r="AG5" s="44"/>
      <c r="AH5" s="44"/>
      <c r="AI5" s="43"/>
      <c r="AJ5" s="44"/>
      <c r="AK5" s="44"/>
      <c r="AL5" s="44"/>
      <c r="AM5" s="44"/>
      <c r="AN5" s="43"/>
      <c r="AO5" s="44"/>
      <c r="AP5" s="44"/>
      <c r="AQ5" s="44"/>
      <c r="AR5" s="44"/>
    </row>
    <row r="6" spans="2:44" s="3" customFormat="1">
      <c r="B6" s="42"/>
      <c r="C6" s="46"/>
      <c r="D6" s="44"/>
      <c r="E6" s="74"/>
      <c r="F6" s="75"/>
      <c r="G6" s="75"/>
      <c r="H6" s="75"/>
      <c r="I6" s="44"/>
      <c r="J6" s="74"/>
      <c r="K6" s="75"/>
      <c r="L6" s="75"/>
      <c r="M6" s="75"/>
      <c r="N6" s="44"/>
      <c r="O6" s="74"/>
      <c r="P6" s="75"/>
      <c r="Q6" s="75"/>
      <c r="R6" s="75"/>
      <c r="S6" s="44"/>
      <c r="T6" s="43"/>
      <c r="U6" s="44"/>
      <c r="V6" s="44"/>
      <c r="W6" s="44"/>
      <c r="X6" s="44"/>
      <c r="Y6" s="43"/>
      <c r="Z6" s="44"/>
      <c r="AA6" s="44"/>
      <c r="AB6" s="44"/>
      <c r="AC6" s="44"/>
      <c r="AD6" s="43"/>
      <c r="AE6" s="44"/>
      <c r="AF6" s="44"/>
      <c r="AG6" s="44"/>
      <c r="AH6" s="44"/>
      <c r="AI6" s="43"/>
      <c r="AJ6" s="44"/>
      <c r="AK6" s="44"/>
      <c r="AL6" s="44"/>
      <c r="AM6" s="44"/>
      <c r="AN6" s="43"/>
      <c r="AO6" s="44"/>
      <c r="AP6" s="44"/>
      <c r="AQ6" s="44"/>
      <c r="AR6" s="44"/>
    </row>
    <row r="7" spans="2:44">
      <c r="B7" s="19" t="s">
        <v>12</v>
      </c>
      <c r="C7" s="19"/>
      <c r="D7" s="6"/>
      <c r="E7" s="70"/>
      <c r="F7" s="194">
        <v>2014</v>
      </c>
      <c r="G7" s="194"/>
      <c r="H7" s="70"/>
      <c r="I7" s="6"/>
      <c r="J7" s="70"/>
      <c r="K7" s="194">
        <v>2013</v>
      </c>
      <c r="L7" s="194"/>
      <c r="M7" s="70"/>
      <c r="N7" s="6"/>
      <c r="O7" s="70"/>
      <c r="P7" s="194">
        <v>2012</v>
      </c>
      <c r="Q7" s="194"/>
      <c r="R7" s="70"/>
      <c r="S7" s="6"/>
      <c r="T7" s="22"/>
      <c r="U7" s="192">
        <v>2011</v>
      </c>
      <c r="V7" s="192"/>
      <c r="W7" s="22"/>
      <c r="X7" s="6"/>
      <c r="Y7" s="22"/>
      <c r="Z7" s="192">
        <v>2014</v>
      </c>
      <c r="AA7" s="192"/>
      <c r="AB7" s="22"/>
      <c r="AC7" s="6"/>
      <c r="AD7" s="22"/>
      <c r="AE7" s="192">
        <v>2013</v>
      </c>
      <c r="AF7" s="192"/>
      <c r="AG7" s="22"/>
      <c r="AH7" s="6"/>
      <c r="AI7" s="22"/>
      <c r="AJ7" s="192">
        <v>2012</v>
      </c>
      <c r="AK7" s="192"/>
      <c r="AL7" s="22"/>
      <c r="AM7" s="6"/>
      <c r="AN7" s="22"/>
      <c r="AO7" s="192">
        <v>2011</v>
      </c>
      <c r="AP7" s="192"/>
      <c r="AQ7" s="22"/>
      <c r="AR7" s="6"/>
    </row>
    <row r="8" spans="2:44" ht="16" thickBot="1">
      <c r="B8" s="20" t="s">
        <v>16</v>
      </c>
      <c r="C8" s="21" t="e">
        <f>IF(RIGHT(#REF!,2)="12",RIGHT(#REF!,2)&amp;"M",RIGHT(#REF!,1)&amp;"M")</f>
        <v>#REF!</v>
      </c>
      <c r="E8" s="71" t="s">
        <v>403</v>
      </c>
      <c r="F8" s="71" t="s">
        <v>404</v>
      </c>
      <c r="G8" s="71" t="s">
        <v>405</v>
      </c>
      <c r="H8" s="71" t="s">
        <v>406</v>
      </c>
      <c r="J8" s="71" t="s">
        <v>403</v>
      </c>
      <c r="K8" s="71" t="s">
        <v>404</v>
      </c>
      <c r="L8" s="71" t="s">
        <v>405</v>
      </c>
      <c r="M8" s="71" t="s">
        <v>406</v>
      </c>
      <c r="O8" s="71" t="s">
        <v>403</v>
      </c>
      <c r="P8" s="71" t="s">
        <v>404</v>
      </c>
      <c r="Q8" s="71" t="s">
        <v>405</v>
      </c>
      <c r="R8" s="71" t="s">
        <v>406</v>
      </c>
      <c r="T8" s="21" t="s">
        <v>403</v>
      </c>
      <c r="U8" s="21" t="s">
        <v>404</v>
      </c>
      <c r="V8" s="21" t="s">
        <v>405</v>
      </c>
      <c r="W8" s="21" t="s">
        <v>406</v>
      </c>
      <c r="Y8" s="21" t="s">
        <v>390</v>
      </c>
      <c r="Z8" s="21" t="s">
        <v>391</v>
      </c>
      <c r="AA8" s="21" t="s">
        <v>392</v>
      </c>
      <c r="AB8" s="21" t="s">
        <v>393</v>
      </c>
      <c r="AD8" s="21" t="s">
        <v>390</v>
      </c>
      <c r="AE8" s="21" t="s">
        <v>391</v>
      </c>
      <c r="AF8" s="21" t="s">
        <v>392</v>
      </c>
      <c r="AG8" s="21" t="s">
        <v>393</v>
      </c>
      <c r="AI8" s="21" t="s">
        <v>390</v>
      </c>
      <c r="AJ8" s="21" t="s">
        <v>391</v>
      </c>
      <c r="AK8" s="21" t="s">
        <v>392</v>
      </c>
      <c r="AL8" s="21" t="s">
        <v>393</v>
      </c>
      <c r="AN8" s="21" t="s">
        <v>390</v>
      </c>
      <c r="AO8" s="21" t="s">
        <v>391</v>
      </c>
      <c r="AP8" s="21" t="s">
        <v>392</v>
      </c>
      <c r="AQ8" s="21" t="s">
        <v>393</v>
      </c>
    </row>
    <row r="9" spans="2:44" s="3" customFormat="1">
      <c r="B9" s="36" t="s">
        <v>302</v>
      </c>
      <c r="C9" s="37" t="e">
        <f>#REF!/1000</f>
        <v>#REF!</v>
      </c>
      <c r="D9" s="10"/>
      <c r="E9" s="59">
        <v>624.95808149584104</v>
      </c>
      <c r="F9" s="59">
        <v>1318.0032476044701</v>
      </c>
      <c r="G9" s="59">
        <v>2159.4520225397901</v>
      </c>
      <c r="H9" s="59" t="e">
        <f>IF(AND($F$7=VALUE($C$4),H$8=$C$8),$C9,0)</f>
        <v>#REF!</v>
      </c>
      <c r="I9" s="10"/>
      <c r="J9" s="59">
        <v>557.12123716189001</v>
      </c>
      <c r="K9" s="59">
        <v>1148.6782891865598</v>
      </c>
      <c r="L9" s="59">
        <v>1748.8957047162498</v>
      </c>
      <c r="M9" s="59">
        <v>2357.9510373292101</v>
      </c>
      <c r="N9" s="10"/>
      <c r="O9" s="59">
        <v>541.9409295112099</v>
      </c>
      <c r="P9" s="59">
        <v>1117.34838652761</v>
      </c>
      <c r="Q9" s="59">
        <v>1704.1212059884799</v>
      </c>
      <c r="R9" s="59">
        <v>2321.47038436303</v>
      </c>
      <c r="S9" s="10"/>
      <c r="T9" s="59">
        <v>519.63256318250296</v>
      </c>
      <c r="U9" s="59">
        <v>1060.04090678032</v>
      </c>
      <c r="V9" s="59">
        <v>1603.9156067102599</v>
      </c>
      <c r="W9" s="59">
        <v>2163.8117132318803</v>
      </c>
      <c r="X9" s="10"/>
      <c r="Y9" s="38">
        <f t="shared" ref="Y9:Y24" si="0">+E9</f>
        <v>624.95808149584104</v>
      </c>
      <c r="Z9" s="38">
        <f>+F9-E9</f>
        <v>693.04516610862902</v>
      </c>
      <c r="AA9" s="38">
        <f t="shared" ref="AA9:AB24" si="1">+G9-F9</f>
        <v>841.44877493531999</v>
      </c>
      <c r="AB9" s="38" t="e">
        <f t="shared" si="1"/>
        <v>#REF!</v>
      </c>
      <c r="AC9" s="10"/>
      <c r="AD9" s="38">
        <f t="shared" ref="AD9:AD24" si="2">+J9</f>
        <v>557.12123716189001</v>
      </c>
      <c r="AE9" s="38">
        <f t="shared" ref="AE9:AG24" si="3">+K9-J9</f>
        <v>591.55705202466982</v>
      </c>
      <c r="AF9" s="38">
        <f t="shared" si="3"/>
        <v>600.21741552969002</v>
      </c>
      <c r="AG9" s="38">
        <f t="shared" si="3"/>
        <v>609.05533261296023</v>
      </c>
      <c r="AH9" s="10"/>
      <c r="AI9" s="38">
        <f t="shared" ref="AI9:AI24" si="4">+O9</f>
        <v>541.9409295112099</v>
      </c>
      <c r="AJ9" s="38">
        <f t="shared" ref="AJ9:AL24" si="5">+P9-O9</f>
        <v>575.40745701640014</v>
      </c>
      <c r="AK9" s="38">
        <f t="shared" si="5"/>
        <v>586.77281946086987</v>
      </c>
      <c r="AL9" s="38">
        <f t="shared" si="5"/>
        <v>617.34917837455009</v>
      </c>
      <c r="AM9" s="10"/>
      <c r="AN9" s="38">
        <f t="shared" ref="AN9:AN24" si="6">+T9</f>
        <v>519.63256318250296</v>
      </c>
      <c r="AO9" s="38">
        <f t="shared" ref="AO9:AQ24" si="7">+U9-T9</f>
        <v>540.40834359781707</v>
      </c>
      <c r="AP9" s="38">
        <f t="shared" si="7"/>
        <v>543.87469992993988</v>
      </c>
      <c r="AQ9" s="38">
        <f t="shared" si="7"/>
        <v>559.89610652162037</v>
      </c>
      <c r="AR9" s="10"/>
    </row>
    <row r="10" spans="2:44" s="3" customFormat="1">
      <c r="B10" s="5" t="s">
        <v>303</v>
      </c>
      <c r="C10" s="8" t="e">
        <f>#REF!/1000</f>
        <v>#REF!</v>
      </c>
      <c r="D10" s="10"/>
      <c r="E10" s="62" t="e">
        <f>679.759344494966+#REF!</f>
        <v>#REF!</v>
      </c>
      <c r="F10" s="62">
        <v>1388.3162842811621</v>
      </c>
      <c r="G10" s="62" t="e">
        <f>2046.21376846483+#REF!</f>
        <v>#REF!</v>
      </c>
      <c r="H10" s="62" t="e">
        <f>IF(AND($F$7=VALUE($C$4),H$8=$C$8),$C10,0)+#REF!</f>
        <v>#REF!</v>
      </c>
      <c r="I10" s="10"/>
      <c r="J10" s="62" t="e">
        <f>584.5479569968+#REF!</f>
        <v>#REF!</v>
      </c>
      <c r="K10" s="62" t="e">
        <f>1180.8875917161++#REF!</f>
        <v>#REF!</v>
      </c>
      <c r="L10" s="62" t="e">
        <f>1765.44127254545+#REF!</f>
        <v>#REF!</v>
      </c>
      <c r="M10" s="62" t="e">
        <f>2451.34714548727++#REF!</f>
        <v>#REF!</v>
      </c>
      <c r="N10" s="10"/>
      <c r="O10" s="62">
        <v>612.07918008429999</v>
      </c>
      <c r="P10" s="62">
        <v>1259.8646706456002</v>
      </c>
      <c r="Q10" s="62">
        <v>1869.9466459700998</v>
      </c>
      <c r="R10" s="62">
        <v>2490.4933509480998</v>
      </c>
      <c r="S10" s="10"/>
      <c r="T10" s="62">
        <v>622.1398414110771</v>
      </c>
      <c r="U10" s="62">
        <v>1262.9807898335698</v>
      </c>
      <c r="V10" s="62">
        <v>1903.5077852309403</v>
      </c>
      <c r="W10" s="62">
        <v>2546.9779341117701</v>
      </c>
      <c r="X10" s="10"/>
      <c r="Y10" s="4" t="e">
        <f t="shared" si="0"/>
        <v>#REF!</v>
      </c>
      <c r="Z10" s="4" t="e">
        <f t="shared" ref="Z10:Z24" si="8">+F10-E10</f>
        <v>#REF!</v>
      </c>
      <c r="AA10" s="4" t="e">
        <f t="shared" si="1"/>
        <v>#REF!</v>
      </c>
      <c r="AB10" s="4" t="e">
        <f t="shared" si="1"/>
        <v>#REF!</v>
      </c>
      <c r="AC10" s="10"/>
      <c r="AD10" s="4" t="e">
        <f t="shared" si="2"/>
        <v>#REF!</v>
      </c>
      <c r="AE10" s="4" t="e">
        <f t="shared" si="3"/>
        <v>#REF!</v>
      </c>
      <c r="AF10" s="4" t="e">
        <f t="shared" si="3"/>
        <v>#REF!</v>
      </c>
      <c r="AG10" s="4" t="e">
        <f t="shared" si="3"/>
        <v>#REF!</v>
      </c>
      <c r="AH10" s="10"/>
      <c r="AI10" s="4">
        <f t="shared" si="4"/>
        <v>612.07918008429999</v>
      </c>
      <c r="AJ10" s="4">
        <f t="shared" si="5"/>
        <v>647.78549056130021</v>
      </c>
      <c r="AK10" s="4">
        <f t="shared" si="5"/>
        <v>610.08197532449958</v>
      </c>
      <c r="AL10" s="4">
        <f t="shared" si="5"/>
        <v>620.54670497799998</v>
      </c>
      <c r="AM10" s="10"/>
      <c r="AN10" s="4">
        <f t="shared" si="6"/>
        <v>622.1398414110771</v>
      </c>
      <c r="AO10" s="4">
        <f t="shared" si="7"/>
        <v>640.84094842249272</v>
      </c>
      <c r="AP10" s="4">
        <f t="shared" si="7"/>
        <v>640.52699539737046</v>
      </c>
      <c r="AQ10" s="4">
        <f t="shared" si="7"/>
        <v>643.47014888082981</v>
      </c>
      <c r="AR10" s="10"/>
    </row>
    <row r="11" spans="2:44">
      <c r="B11" s="28" t="s">
        <v>322</v>
      </c>
      <c r="C11" s="29" t="e">
        <f>+C9+C10</f>
        <v>#REF!</v>
      </c>
      <c r="D11" s="12"/>
      <c r="E11" s="29" t="e">
        <f>+E9+E10</f>
        <v>#REF!</v>
      </c>
      <c r="F11" s="29">
        <v>2706.3195318856324</v>
      </c>
      <c r="G11" s="29" t="e">
        <f>+G9+G10</f>
        <v>#REF!</v>
      </c>
      <c r="H11" s="29" t="e">
        <f>+H9+H10</f>
        <v>#REF!</v>
      </c>
      <c r="I11" s="12"/>
      <c r="J11" s="29" t="e">
        <f>+J9+J10</f>
        <v>#REF!</v>
      </c>
      <c r="K11" s="29" t="e">
        <f>+K9+K10</f>
        <v>#REF!</v>
      </c>
      <c r="L11" s="29" t="e">
        <f>+L9+L10</f>
        <v>#REF!</v>
      </c>
      <c r="M11" s="29" t="e">
        <f>+M9+M10</f>
        <v>#REF!</v>
      </c>
      <c r="N11" s="12"/>
      <c r="O11" s="29">
        <f t="shared" ref="O11:W11" si="9">+O9+O10</f>
        <v>1154.0201095955099</v>
      </c>
      <c r="P11" s="29">
        <f t="shared" si="9"/>
        <v>2377.2130571732105</v>
      </c>
      <c r="Q11" s="29">
        <f t="shared" si="9"/>
        <v>3574.0678519585799</v>
      </c>
      <c r="R11" s="29">
        <f t="shared" si="9"/>
        <v>4811.9637353111302</v>
      </c>
      <c r="S11" s="12"/>
      <c r="T11" s="29">
        <f t="shared" si="9"/>
        <v>1141.7724045935802</v>
      </c>
      <c r="U11" s="29">
        <f t="shared" si="9"/>
        <v>2323.0216966138896</v>
      </c>
      <c r="V11" s="29">
        <f t="shared" si="9"/>
        <v>3507.4233919412</v>
      </c>
      <c r="W11" s="29">
        <f t="shared" si="9"/>
        <v>4710.7896473436504</v>
      </c>
      <c r="X11" s="12"/>
      <c r="Y11" s="30" t="e">
        <f t="shared" si="0"/>
        <v>#REF!</v>
      </c>
      <c r="Z11" s="30" t="e">
        <f t="shared" si="8"/>
        <v>#REF!</v>
      </c>
      <c r="AA11" s="30" t="e">
        <f t="shared" si="1"/>
        <v>#REF!</v>
      </c>
      <c r="AB11" s="30" t="e">
        <f t="shared" si="1"/>
        <v>#REF!</v>
      </c>
      <c r="AC11" s="12"/>
      <c r="AD11" s="30" t="e">
        <f t="shared" si="2"/>
        <v>#REF!</v>
      </c>
      <c r="AE11" s="30" t="e">
        <f t="shared" si="3"/>
        <v>#REF!</v>
      </c>
      <c r="AF11" s="30" t="e">
        <f t="shared" si="3"/>
        <v>#REF!</v>
      </c>
      <c r="AG11" s="30" t="e">
        <f t="shared" si="3"/>
        <v>#REF!</v>
      </c>
      <c r="AH11" s="12"/>
      <c r="AI11" s="30">
        <f t="shared" si="4"/>
        <v>1154.0201095955099</v>
      </c>
      <c r="AJ11" s="30">
        <f t="shared" si="5"/>
        <v>1223.1929475777006</v>
      </c>
      <c r="AK11" s="30">
        <f t="shared" si="5"/>
        <v>1196.8547947853694</v>
      </c>
      <c r="AL11" s="30">
        <f t="shared" si="5"/>
        <v>1237.8958833525503</v>
      </c>
      <c r="AM11" s="12"/>
      <c r="AN11" s="30">
        <f t="shared" si="6"/>
        <v>1141.7724045935802</v>
      </c>
      <c r="AO11" s="30">
        <f t="shared" si="7"/>
        <v>1181.2492920203094</v>
      </c>
      <c r="AP11" s="30">
        <f t="shared" si="7"/>
        <v>1184.4016953273103</v>
      </c>
      <c r="AQ11" s="30">
        <f t="shared" si="7"/>
        <v>1203.3662554024504</v>
      </c>
      <c r="AR11" s="12"/>
    </row>
    <row r="12" spans="2:44" s="3" customFormat="1">
      <c r="B12" s="28" t="s">
        <v>379</v>
      </c>
      <c r="C12" s="29" t="e">
        <f>+#REF!/1000</f>
        <v>#REF!</v>
      </c>
      <c r="D12" s="12"/>
      <c r="E12" s="63" t="e">
        <f>-189.12548470019+#REF!</f>
        <v>#REF!</v>
      </c>
      <c r="F12" s="63">
        <v>-333.54784974212509</v>
      </c>
      <c r="G12" s="63" t="e">
        <f>-361.403495536296+#REF!</f>
        <v>#REF!</v>
      </c>
      <c r="H12" s="63" t="e">
        <f>IF(AND($F$7=VALUE($C$4),H$8=$C$8),$C12,0)+#REF!</f>
        <v>#REF!</v>
      </c>
      <c r="I12" s="12"/>
      <c r="J12" s="63" t="e">
        <f>-215.576864973003+#REF!</f>
        <v>#REF!</v>
      </c>
      <c r="K12" s="63" t="e">
        <f>-468.722449547717+#REF!</f>
        <v>#REF!</v>
      </c>
      <c r="L12" s="63" t="e">
        <f>-617.933149871372+#REF!</f>
        <v>#REF!</v>
      </c>
      <c r="M12" s="63" t="e">
        <f>-877.05495404466+#REF!</f>
        <v>#REF!</v>
      </c>
      <c r="N12" s="12"/>
      <c r="O12" s="63">
        <v>-228.83798871936199</v>
      </c>
      <c r="P12" s="63">
        <v>-357.771130888936</v>
      </c>
      <c r="Q12" s="63">
        <v>-447.13447779484198</v>
      </c>
      <c r="R12" s="63">
        <v>-675.52629087128605</v>
      </c>
      <c r="S12" s="12"/>
      <c r="T12" s="63">
        <v>-184.26688431078099</v>
      </c>
      <c r="U12" s="63">
        <v>-433.21172541219096</v>
      </c>
      <c r="V12" s="63">
        <v>-511.94836812214299</v>
      </c>
      <c r="W12" s="63">
        <v>-632.72529017999989</v>
      </c>
      <c r="X12" s="12"/>
      <c r="Y12" s="30" t="e">
        <f t="shared" si="0"/>
        <v>#REF!</v>
      </c>
      <c r="Z12" s="30" t="e">
        <f t="shared" si="8"/>
        <v>#REF!</v>
      </c>
      <c r="AA12" s="30" t="e">
        <f t="shared" si="1"/>
        <v>#REF!</v>
      </c>
      <c r="AB12" s="30" t="e">
        <f t="shared" si="1"/>
        <v>#REF!</v>
      </c>
      <c r="AC12" s="12"/>
      <c r="AD12" s="30" t="e">
        <f t="shared" si="2"/>
        <v>#REF!</v>
      </c>
      <c r="AE12" s="30" t="e">
        <f t="shared" si="3"/>
        <v>#REF!</v>
      </c>
      <c r="AF12" s="30" t="e">
        <f t="shared" si="3"/>
        <v>#REF!</v>
      </c>
      <c r="AG12" s="30" t="e">
        <f t="shared" si="3"/>
        <v>#REF!</v>
      </c>
      <c r="AH12" s="12"/>
      <c r="AI12" s="30">
        <f t="shared" si="4"/>
        <v>-228.83798871936199</v>
      </c>
      <c r="AJ12" s="30">
        <f t="shared" si="5"/>
        <v>-128.93314216957401</v>
      </c>
      <c r="AK12" s="30">
        <f t="shared" si="5"/>
        <v>-89.363346905905985</v>
      </c>
      <c r="AL12" s="30">
        <f t="shared" si="5"/>
        <v>-228.39181307644407</v>
      </c>
      <c r="AM12" s="12"/>
      <c r="AN12" s="30">
        <f t="shared" si="6"/>
        <v>-184.26688431078099</v>
      </c>
      <c r="AO12" s="30">
        <f t="shared" si="7"/>
        <v>-248.94484110140996</v>
      </c>
      <c r="AP12" s="30">
        <f t="shared" si="7"/>
        <v>-78.736642709952037</v>
      </c>
      <c r="AQ12" s="30">
        <f t="shared" si="7"/>
        <v>-120.77692205785689</v>
      </c>
      <c r="AR12" s="12"/>
    </row>
    <row r="13" spans="2:44" s="3" customFormat="1">
      <c r="B13" s="36" t="s">
        <v>375</v>
      </c>
      <c r="C13" s="32" t="e">
        <f>SUM(#REF!)/1000</f>
        <v>#REF!</v>
      </c>
      <c r="D13" s="10"/>
      <c r="E13" s="60" t="e">
        <f>-0.5903589313+#REF!</f>
        <v>#REF!</v>
      </c>
      <c r="F13" s="60">
        <v>17.136190409400001</v>
      </c>
      <c r="G13" s="60" t="e">
        <f>5.4415813212+#REF!</f>
        <v>#REF!</v>
      </c>
      <c r="H13" s="60" t="e">
        <f>IF(AND($F$7=VALUE($C$4),H$8=$C$8),$C13,0)+#REF!</f>
        <v>#REF!</v>
      </c>
      <c r="I13" s="10"/>
      <c r="J13" s="60" t="e">
        <f>5.1752900228+#REF!</f>
        <v>#REF!</v>
      </c>
      <c r="K13" s="60" t="e">
        <f>15.995652793+#REF!</f>
        <v>#REF!</v>
      </c>
      <c r="L13" s="60" t="e">
        <f>16.45127577+#REF!</f>
        <v>#REF!</v>
      </c>
      <c r="M13" s="60" t="e">
        <f>23.5476336050001+#REF!</f>
        <v>#REF!</v>
      </c>
      <c r="N13" s="10"/>
      <c r="O13" s="60">
        <v>7.9635174399999994E-2</v>
      </c>
      <c r="P13" s="60">
        <v>-14.940574032400201</v>
      </c>
      <c r="Q13" s="60">
        <v>0.2817978377420004</v>
      </c>
      <c r="R13" s="60">
        <v>6.6370352381510003</v>
      </c>
      <c r="S13" s="10"/>
      <c r="T13" s="60">
        <v>22.7171763626</v>
      </c>
      <c r="U13" s="60">
        <v>33.135476201400003</v>
      </c>
      <c r="V13" s="60">
        <v>131.00301900905501</v>
      </c>
      <c r="W13" s="60">
        <v>188.56578531881101</v>
      </c>
      <c r="X13" s="10"/>
      <c r="Y13" s="33" t="e">
        <f t="shared" si="0"/>
        <v>#REF!</v>
      </c>
      <c r="Z13" s="33" t="e">
        <f t="shared" si="8"/>
        <v>#REF!</v>
      </c>
      <c r="AA13" s="33" t="e">
        <f t="shared" si="1"/>
        <v>#REF!</v>
      </c>
      <c r="AB13" s="33" t="e">
        <f t="shared" si="1"/>
        <v>#REF!</v>
      </c>
      <c r="AC13" s="10"/>
      <c r="AD13" s="33" t="e">
        <f t="shared" si="2"/>
        <v>#REF!</v>
      </c>
      <c r="AE13" s="33" t="e">
        <f t="shared" si="3"/>
        <v>#REF!</v>
      </c>
      <c r="AF13" s="33" t="e">
        <f t="shared" si="3"/>
        <v>#REF!</v>
      </c>
      <c r="AG13" s="33" t="e">
        <f t="shared" si="3"/>
        <v>#REF!</v>
      </c>
      <c r="AH13" s="10"/>
      <c r="AI13" s="33">
        <f t="shared" si="4"/>
        <v>7.9635174399999994E-2</v>
      </c>
      <c r="AJ13" s="33">
        <f t="shared" si="5"/>
        <v>-15.020209206800201</v>
      </c>
      <c r="AK13" s="33">
        <f t="shared" si="5"/>
        <v>15.222371870142203</v>
      </c>
      <c r="AL13" s="33">
        <f t="shared" si="5"/>
        <v>6.355237400409</v>
      </c>
      <c r="AM13" s="10"/>
      <c r="AN13" s="33">
        <f t="shared" si="6"/>
        <v>22.7171763626</v>
      </c>
      <c r="AO13" s="33">
        <f t="shared" si="7"/>
        <v>10.418299838800003</v>
      </c>
      <c r="AP13" s="33">
        <f t="shared" si="7"/>
        <v>97.867542807655013</v>
      </c>
      <c r="AQ13" s="33">
        <f t="shared" si="7"/>
        <v>57.562766309756</v>
      </c>
      <c r="AR13" s="10"/>
    </row>
    <row r="14" spans="2:44" s="3" customFormat="1">
      <c r="B14" s="36" t="s">
        <v>380</v>
      </c>
      <c r="C14" s="37" t="e">
        <f>+#REF!/1000</f>
        <v>#REF!</v>
      </c>
      <c r="D14" s="10"/>
      <c r="E14" s="59" t="e">
        <f>-9.0493395375+#REF!</f>
        <v>#REF!</v>
      </c>
      <c r="F14" s="59">
        <v>-139.4847537668</v>
      </c>
      <c r="G14" s="59" t="e">
        <f>-155.866681474+#REF!</f>
        <v>#REF!</v>
      </c>
      <c r="H14" s="59" t="e">
        <f>IF(AND($F$7=VALUE($C$4),H$8=$C$8),$C14,0)+#REF!</f>
        <v>#REF!</v>
      </c>
      <c r="I14" s="10"/>
      <c r="J14" s="59" t="e">
        <f>-37.8567231173+#REF!</f>
        <v>#REF!</v>
      </c>
      <c r="K14" s="59" t="e">
        <f>-104.9581126536+#REF!</f>
        <v>#REF!</v>
      </c>
      <c r="L14" s="59" t="e">
        <f>-186.9315221935+#REF!</f>
        <v>#REF!</v>
      </c>
      <c r="M14" s="59" t="e">
        <f>-211.0095790258+#REF!</f>
        <v>#REF!</v>
      </c>
      <c r="N14" s="10"/>
      <c r="O14" s="59">
        <v>-4.6490479999999996</v>
      </c>
      <c r="P14" s="59">
        <v>-13.381875460000002</v>
      </c>
      <c r="Q14" s="59">
        <v>-31.763107560000002</v>
      </c>
      <c r="R14" s="59">
        <v>-47.575024689999999</v>
      </c>
      <c r="S14" s="10"/>
      <c r="T14" s="59">
        <v>-8.1602149458100008</v>
      </c>
      <c r="U14" s="59">
        <v>-8.9616350451999995</v>
      </c>
      <c r="V14" s="59">
        <v>-12.58386174</v>
      </c>
      <c r="W14" s="59">
        <v>-16.896195395932001</v>
      </c>
      <c r="X14" s="10"/>
      <c r="Y14" s="38" t="e">
        <f t="shared" si="0"/>
        <v>#REF!</v>
      </c>
      <c r="Z14" s="38" t="e">
        <f t="shared" si="8"/>
        <v>#REF!</v>
      </c>
      <c r="AA14" s="38" t="e">
        <f t="shared" si="1"/>
        <v>#REF!</v>
      </c>
      <c r="AB14" s="38" t="e">
        <f t="shared" si="1"/>
        <v>#REF!</v>
      </c>
      <c r="AC14" s="10"/>
      <c r="AD14" s="38" t="e">
        <f t="shared" si="2"/>
        <v>#REF!</v>
      </c>
      <c r="AE14" s="38" t="e">
        <f t="shared" si="3"/>
        <v>#REF!</v>
      </c>
      <c r="AF14" s="38" t="e">
        <f t="shared" si="3"/>
        <v>#REF!</v>
      </c>
      <c r="AG14" s="38" t="e">
        <f t="shared" si="3"/>
        <v>#REF!</v>
      </c>
      <c r="AH14" s="10"/>
      <c r="AI14" s="38">
        <f t="shared" si="4"/>
        <v>-4.6490479999999996</v>
      </c>
      <c r="AJ14" s="38">
        <f t="shared" si="5"/>
        <v>-8.7328274600000029</v>
      </c>
      <c r="AK14" s="38">
        <f t="shared" si="5"/>
        <v>-18.381232099999998</v>
      </c>
      <c r="AL14" s="38">
        <f t="shared" si="5"/>
        <v>-15.811917129999998</v>
      </c>
      <c r="AM14" s="10"/>
      <c r="AN14" s="38">
        <f t="shared" si="6"/>
        <v>-8.1602149458100008</v>
      </c>
      <c r="AO14" s="38">
        <f t="shared" si="7"/>
        <v>-0.8014200993899987</v>
      </c>
      <c r="AP14" s="38">
        <f t="shared" si="7"/>
        <v>-3.6222266948000001</v>
      </c>
      <c r="AQ14" s="38">
        <f t="shared" si="7"/>
        <v>-4.3123336559320009</v>
      </c>
      <c r="AR14" s="10"/>
    </row>
    <row r="15" spans="2:44" s="3" customFormat="1">
      <c r="B15" s="36" t="s">
        <v>381</v>
      </c>
      <c r="C15" s="37" t="e">
        <f>+#REF!/1000</f>
        <v>#REF!</v>
      </c>
      <c r="D15" s="10"/>
      <c r="E15" s="59" t="e">
        <f>0+#REF!</f>
        <v>#REF!</v>
      </c>
      <c r="F15" s="59">
        <v>0</v>
      </c>
      <c r="G15" s="59" t="e">
        <f>0++#REF!</f>
        <v>#REF!</v>
      </c>
      <c r="H15" s="59" t="e">
        <f>IF(AND($F$7=VALUE($C$4),H$8=$C$8),$C15,0)+#REF!</f>
        <v>#REF!</v>
      </c>
      <c r="I15" s="10"/>
      <c r="J15" s="59" t="e">
        <f>0+#REF!</f>
        <v>#REF!</v>
      </c>
      <c r="K15" s="59" t="e">
        <f>0+#REF!</f>
        <v>#REF!</v>
      </c>
      <c r="L15" s="59" t="e">
        <f>0+#REF!</f>
        <v>#REF!</v>
      </c>
      <c r="M15" s="59" t="e">
        <f>0+#REF!</f>
        <v>#REF!</v>
      </c>
      <c r="N15" s="10"/>
      <c r="O15" s="59">
        <v>0</v>
      </c>
      <c r="P15" s="59">
        <v>0</v>
      </c>
      <c r="Q15" s="59">
        <v>0</v>
      </c>
      <c r="R15" s="59">
        <v>0</v>
      </c>
      <c r="S15" s="10"/>
      <c r="T15" s="59">
        <v>0</v>
      </c>
      <c r="U15" s="59">
        <v>0</v>
      </c>
      <c r="V15" s="59">
        <v>0</v>
      </c>
      <c r="W15" s="59">
        <v>0</v>
      </c>
      <c r="X15" s="10"/>
      <c r="Y15" s="38" t="e">
        <f t="shared" si="0"/>
        <v>#REF!</v>
      </c>
      <c r="Z15" s="38" t="e">
        <f t="shared" si="8"/>
        <v>#REF!</v>
      </c>
      <c r="AA15" s="38" t="e">
        <f t="shared" si="1"/>
        <v>#REF!</v>
      </c>
      <c r="AB15" s="38" t="e">
        <f t="shared" si="1"/>
        <v>#REF!</v>
      </c>
      <c r="AC15" s="10"/>
      <c r="AD15" s="38" t="e">
        <f t="shared" si="2"/>
        <v>#REF!</v>
      </c>
      <c r="AE15" s="38" t="e">
        <f t="shared" si="3"/>
        <v>#REF!</v>
      </c>
      <c r="AF15" s="38" t="e">
        <f t="shared" si="3"/>
        <v>#REF!</v>
      </c>
      <c r="AG15" s="38" t="e">
        <f t="shared" si="3"/>
        <v>#REF!</v>
      </c>
      <c r="AH15" s="10"/>
      <c r="AI15" s="38">
        <f t="shared" si="4"/>
        <v>0</v>
      </c>
      <c r="AJ15" s="38">
        <f t="shared" si="5"/>
        <v>0</v>
      </c>
      <c r="AK15" s="38">
        <f t="shared" si="5"/>
        <v>0</v>
      </c>
      <c r="AL15" s="38">
        <f t="shared" si="5"/>
        <v>0</v>
      </c>
      <c r="AM15" s="10"/>
      <c r="AN15" s="38">
        <f t="shared" si="6"/>
        <v>0</v>
      </c>
      <c r="AO15" s="38">
        <f t="shared" si="7"/>
        <v>0</v>
      </c>
      <c r="AP15" s="38">
        <f t="shared" si="7"/>
        <v>0</v>
      </c>
      <c r="AQ15" s="38">
        <f t="shared" si="7"/>
        <v>0</v>
      </c>
      <c r="AR15" s="10"/>
    </row>
    <row r="16" spans="2:44" s="3" customFormat="1">
      <c r="B16" s="36" t="s">
        <v>412</v>
      </c>
      <c r="C16" s="37" t="e">
        <f>+#REF!/1000</f>
        <v>#REF!</v>
      </c>
      <c r="D16" s="10"/>
      <c r="E16" s="59" t="e">
        <f>0+#REF!</f>
        <v>#REF!</v>
      </c>
      <c r="F16" s="59">
        <v>0</v>
      </c>
      <c r="G16" s="59" t="e">
        <f>-0.040665+#REF!</f>
        <v>#REF!</v>
      </c>
      <c r="H16" s="59" t="e">
        <f>IF(AND($F$7=VALUE($C$4),H$8=$C$8),$C16,0)+#REF!</f>
        <v>#REF!</v>
      </c>
      <c r="I16" s="10"/>
      <c r="J16" s="59" t="e">
        <f>0+#REF!</f>
        <v>#REF!</v>
      </c>
      <c r="K16" s="59" t="e">
        <f>0+#REF!</f>
        <v>#REF!</v>
      </c>
      <c r="L16" s="59" t="e">
        <f>-0.052548+#REF!</f>
        <v>#REF!</v>
      </c>
      <c r="M16" s="59" t="e">
        <f>0.06871975+#REF!</f>
        <v>#REF!</v>
      </c>
      <c r="N16" s="10"/>
      <c r="O16" s="59">
        <v>0</v>
      </c>
      <c r="P16" s="59">
        <v>1.4231698275210001</v>
      </c>
      <c r="Q16" s="59">
        <v>1.4366856858900001</v>
      </c>
      <c r="R16" s="59">
        <v>1.2500061342569999</v>
      </c>
      <c r="S16" s="10"/>
      <c r="T16" s="59">
        <v>0</v>
      </c>
      <c r="U16" s="59">
        <v>0</v>
      </c>
      <c r="V16" s="59">
        <v>0</v>
      </c>
      <c r="W16" s="59">
        <v>-3.4911900000000003E-2</v>
      </c>
      <c r="X16" s="10"/>
      <c r="Y16" s="38" t="e">
        <f t="shared" si="0"/>
        <v>#REF!</v>
      </c>
      <c r="Z16" s="38" t="e">
        <f t="shared" si="8"/>
        <v>#REF!</v>
      </c>
      <c r="AA16" s="38" t="e">
        <f t="shared" si="1"/>
        <v>#REF!</v>
      </c>
      <c r="AB16" s="38" t="e">
        <f t="shared" si="1"/>
        <v>#REF!</v>
      </c>
      <c r="AC16" s="10"/>
      <c r="AD16" s="38" t="e">
        <f t="shared" si="2"/>
        <v>#REF!</v>
      </c>
      <c r="AE16" s="38" t="e">
        <f t="shared" si="3"/>
        <v>#REF!</v>
      </c>
      <c r="AF16" s="38" t="e">
        <f t="shared" si="3"/>
        <v>#REF!</v>
      </c>
      <c r="AG16" s="38" t="e">
        <f t="shared" si="3"/>
        <v>#REF!</v>
      </c>
      <c r="AH16" s="10"/>
      <c r="AI16" s="38">
        <f t="shared" si="4"/>
        <v>0</v>
      </c>
      <c r="AJ16" s="38">
        <f t="shared" si="5"/>
        <v>1.4231698275210001</v>
      </c>
      <c r="AK16" s="38">
        <f t="shared" si="5"/>
        <v>1.3515858369000044E-2</v>
      </c>
      <c r="AL16" s="38">
        <f t="shared" si="5"/>
        <v>-0.18667955163300021</v>
      </c>
      <c r="AM16" s="10"/>
      <c r="AN16" s="38">
        <f t="shared" si="6"/>
        <v>0</v>
      </c>
      <c r="AO16" s="38">
        <f t="shared" si="7"/>
        <v>0</v>
      </c>
      <c r="AP16" s="38">
        <f t="shared" si="7"/>
        <v>0</v>
      </c>
      <c r="AQ16" s="38">
        <f t="shared" si="7"/>
        <v>-3.4911900000000003E-2</v>
      </c>
      <c r="AR16" s="10"/>
    </row>
    <row r="17" spans="2:44" s="3" customFormat="1">
      <c r="B17" s="25" t="s">
        <v>382</v>
      </c>
      <c r="C17" s="26" t="e">
        <f>+#REF!/1000</f>
        <v>#REF!</v>
      </c>
      <c r="D17" s="10"/>
      <c r="E17" s="26" t="e">
        <f>+E13+E14+E15+E16</f>
        <v>#REF!</v>
      </c>
      <c r="F17" s="26">
        <v>-122.3485633574</v>
      </c>
      <c r="G17" s="26" t="e">
        <f>+G13+G14+G15+G16</f>
        <v>#REF!</v>
      </c>
      <c r="H17" s="26" t="e">
        <f>+H13+H14+H15+H16</f>
        <v>#REF!</v>
      </c>
      <c r="I17" s="10"/>
      <c r="J17" s="26" t="e">
        <f>+J13+J14+J15+J16</f>
        <v>#REF!</v>
      </c>
      <c r="K17" s="26" t="e">
        <f>+K13+K14+K15+K16</f>
        <v>#REF!</v>
      </c>
      <c r="L17" s="26" t="e">
        <f>+L13+L14+L15+L16</f>
        <v>#REF!</v>
      </c>
      <c r="M17" s="26" t="e">
        <f>+M13+M14+M15+M16</f>
        <v>#REF!</v>
      </c>
      <c r="N17" s="10"/>
      <c r="O17" s="26">
        <f t="shared" ref="O17:W17" si="10">+O13+O14+O15+O16</f>
        <v>-4.5694128255999997</v>
      </c>
      <c r="P17" s="26">
        <f t="shared" si="10"/>
        <v>-26.899279664879202</v>
      </c>
      <c r="Q17" s="26">
        <f t="shared" si="10"/>
        <v>-30.044624036367999</v>
      </c>
      <c r="R17" s="26">
        <f t="shared" si="10"/>
        <v>-39.687983317592</v>
      </c>
      <c r="S17" s="10"/>
      <c r="T17" s="26">
        <f t="shared" si="10"/>
        <v>14.556961416789999</v>
      </c>
      <c r="U17" s="26">
        <f t="shared" si="10"/>
        <v>24.173841156200005</v>
      </c>
      <c r="V17" s="26">
        <f t="shared" si="10"/>
        <v>118.41915726905501</v>
      </c>
      <c r="W17" s="26">
        <f t="shared" si="10"/>
        <v>171.634678022879</v>
      </c>
      <c r="X17" s="10"/>
      <c r="Y17" s="27" t="e">
        <f t="shared" si="0"/>
        <v>#REF!</v>
      </c>
      <c r="Z17" s="27" t="e">
        <f t="shared" si="8"/>
        <v>#REF!</v>
      </c>
      <c r="AA17" s="27" t="e">
        <f t="shared" si="1"/>
        <v>#REF!</v>
      </c>
      <c r="AB17" s="27" t="e">
        <f t="shared" si="1"/>
        <v>#REF!</v>
      </c>
      <c r="AC17" s="10"/>
      <c r="AD17" s="27" t="e">
        <f t="shared" si="2"/>
        <v>#REF!</v>
      </c>
      <c r="AE17" s="27" t="e">
        <f t="shared" si="3"/>
        <v>#REF!</v>
      </c>
      <c r="AF17" s="27" t="e">
        <f t="shared" si="3"/>
        <v>#REF!</v>
      </c>
      <c r="AG17" s="27" t="e">
        <f t="shared" si="3"/>
        <v>#REF!</v>
      </c>
      <c r="AH17" s="10"/>
      <c r="AI17" s="27">
        <f t="shared" si="4"/>
        <v>-4.5694128255999997</v>
      </c>
      <c r="AJ17" s="27">
        <f t="shared" si="5"/>
        <v>-22.329866839279202</v>
      </c>
      <c r="AK17" s="27">
        <f t="shared" si="5"/>
        <v>-3.1453443714887968</v>
      </c>
      <c r="AL17" s="27">
        <f t="shared" si="5"/>
        <v>-9.6433592812240008</v>
      </c>
      <c r="AM17" s="10"/>
      <c r="AN17" s="27">
        <f t="shared" si="6"/>
        <v>14.556961416789999</v>
      </c>
      <c r="AO17" s="27">
        <f t="shared" si="7"/>
        <v>9.6168797394100061</v>
      </c>
      <c r="AP17" s="27">
        <f t="shared" si="7"/>
        <v>94.245316112854994</v>
      </c>
      <c r="AQ17" s="27">
        <f t="shared" si="7"/>
        <v>53.215520753823995</v>
      </c>
      <c r="AR17" s="10"/>
    </row>
    <row r="18" spans="2:44" s="3" customFormat="1">
      <c r="B18" s="28" t="s">
        <v>408</v>
      </c>
      <c r="C18" s="29" t="e">
        <f>+C12+C17</f>
        <v>#REF!</v>
      </c>
      <c r="D18" s="12"/>
      <c r="E18" s="29" t="e">
        <f>+E12+E17</f>
        <v>#REF!</v>
      </c>
      <c r="F18" s="29">
        <v>-455.89641309952509</v>
      </c>
      <c r="G18" s="29" t="e">
        <f>+G12+G17</f>
        <v>#REF!</v>
      </c>
      <c r="H18" s="29" t="e">
        <f>+H12+H17</f>
        <v>#REF!</v>
      </c>
      <c r="I18" s="12"/>
      <c r="J18" s="29" t="e">
        <f>+J12+J17</f>
        <v>#REF!</v>
      </c>
      <c r="K18" s="29" t="e">
        <f>+K12+K17</f>
        <v>#REF!</v>
      </c>
      <c r="L18" s="29" t="e">
        <f>+L12+L17</f>
        <v>#REF!</v>
      </c>
      <c r="M18" s="29" t="e">
        <f>+M12+M17</f>
        <v>#REF!</v>
      </c>
      <c r="N18" s="12"/>
      <c r="O18" s="29">
        <f t="shared" ref="O18:W18" si="11">+O12+O17</f>
        <v>-233.407401544962</v>
      </c>
      <c r="P18" s="29">
        <f t="shared" si="11"/>
        <v>-384.6704105538152</v>
      </c>
      <c r="Q18" s="29">
        <f t="shared" si="11"/>
        <v>-477.17910183121001</v>
      </c>
      <c r="R18" s="29">
        <f t="shared" si="11"/>
        <v>-715.21427418887811</v>
      </c>
      <c r="S18" s="12"/>
      <c r="T18" s="29">
        <f t="shared" si="11"/>
        <v>-169.70992289399101</v>
      </c>
      <c r="U18" s="29">
        <f t="shared" si="11"/>
        <v>-409.03788425599095</v>
      </c>
      <c r="V18" s="29">
        <f t="shared" si="11"/>
        <v>-393.52921085308799</v>
      </c>
      <c r="W18" s="29">
        <f t="shared" si="11"/>
        <v>-461.09061215712086</v>
      </c>
      <c r="X18" s="12"/>
      <c r="Y18" s="30" t="e">
        <f t="shared" si="0"/>
        <v>#REF!</v>
      </c>
      <c r="Z18" s="30" t="e">
        <f t="shared" si="8"/>
        <v>#REF!</v>
      </c>
      <c r="AA18" s="30" t="e">
        <f t="shared" si="1"/>
        <v>#REF!</v>
      </c>
      <c r="AB18" s="30" t="e">
        <f t="shared" si="1"/>
        <v>#REF!</v>
      </c>
      <c r="AC18" s="12"/>
      <c r="AD18" s="30" t="e">
        <f t="shared" si="2"/>
        <v>#REF!</v>
      </c>
      <c r="AE18" s="30" t="e">
        <f t="shared" si="3"/>
        <v>#REF!</v>
      </c>
      <c r="AF18" s="30" t="e">
        <f t="shared" si="3"/>
        <v>#REF!</v>
      </c>
      <c r="AG18" s="30" t="e">
        <f t="shared" si="3"/>
        <v>#REF!</v>
      </c>
      <c r="AH18" s="12"/>
      <c r="AI18" s="30">
        <f t="shared" si="4"/>
        <v>-233.407401544962</v>
      </c>
      <c r="AJ18" s="30">
        <f t="shared" si="5"/>
        <v>-151.2630090088532</v>
      </c>
      <c r="AK18" s="30">
        <f t="shared" si="5"/>
        <v>-92.508691277394803</v>
      </c>
      <c r="AL18" s="30">
        <f t="shared" si="5"/>
        <v>-238.0351723576681</v>
      </c>
      <c r="AM18" s="12"/>
      <c r="AN18" s="30">
        <f t="shared" si="6"/>
        <v>-169.70992289399101</v>
      </c>
      <c r="AO18" s="30">
        <f t="shared" si="7"/>
        <v>-239.32796136199994</v>
      </c>
      <c r="AP18" s="30">
        <f t="shared" si="7"/>
        <v>15.508673402902957</v>
      </c>
      <c r="AQ18" s="30">
        <f t="shared" si="7"/>
        <v>-67.56140130403287</v>
      </c>
      <c r="AR18" s="12"/>
    </row>
    <row r="19" spans="2:44" s="3" customFormat="1">
      <c r="B19" s="39" t="s">
        <v>417</v>
      </c>
      <c r="C19" s="32" t="e">
        <f>+#REF!/1000</f>
        <v>#REF!</v>
      </c>
      <c r="D19" s="10"/>
      <c r="E19" s="60" t="e">
        <f>-117.028241572925+#REF!</f>
        <v>#REF!</v>
      </c>
      <c r="F19" s="60">
        <v>-235.84212973635701</v>
      </c>
      <c r="G19" s="60" t="e">
        <f>-355.089356458972+#REF!</f>
        <v>#REF!</v>
      </c>
      <c r="H19" s="60" t="e">
        <f>IF(AND($F$7=VALUE($C$4),H$8=$C$8),$C19,0)+#REF!</f>
        <v>#REF!</v>
      </c>
      <c r="I19" s="10"/>
      <c r="J19" s="60" t="e">
        <f>-114.90414616955+#REF!</f>
        <v>#REF!</v>
      </c>
      <c r="K19" s="60" t="e">
        <f>-237.252693448783+#REF!</f>
        <v>#REF!</v>
      </c>
      <c r="L19" s="60" t="e">
        <f>-353.195240012878+#REF!</f>
        <v>#REF!</v>
      </c>
      <c r="M19" s="60" t="e">
        <f>-490.543237947472+#REF!</f>
        <v>#REF!</v>
      </c>
      <c r="N19" s="10"/>
      <c r="O19" s="60">
        <v>-115.821087722201</v>
      </c>
      <c r="P19" s="60">
        <v>-230.45678886213298</v>
      </c>
      <c r="Q19" s="60">
        <v>-342.42951341767696</v>
      </c>
      <c r="R19" s="60">
        <v>-475.31586105054805</v>
      </c>
      <c r="S19" s="10"/>
      <c r="T19" s="60">
        <v>-111.47730799548199</v>
      </c>
      <c r="U19" s="60">
        <v>-223.243577480868</v>
      </c>
      <c r="V19" s="60">
        <v>-341.625617048832</v>
      </c>
      <c r="W19" s="60">
        <v>-467.27128854703807</v>
      </c>
      <c r="X19" s="10"/>
      <c r="Y19" s="33" t="e">
        <f t="shared" si="0"/>
        <v>#REF!</v>
      </c>
      <c r="Z19" s="33" t="e">
        <f t="shared" si="8"/>
        <v>#REF!</v>
      </c>
      <c r="AA19" s="33" t="e">
        <f t="shared" si="1"/>
        <v>#REF!</v>
      </c>
      <c r="AB19" s="33" t="e">
        <f t="shared" si="1"/>
        <v>#REF!</v>
      </c>
      <c r="AC19" s="10"/>
      <c r="AD19" s="33" t="e">
        <f t="shared" si="2"/>
        <v>#REF!</v>
      </c>
      <c r="AE19" s="33" t="e">
        <f t="shared" si="3"/>
        <v>#REF!</v>
      </c>
      <c r="AF19" s="33" t="e">
        <f t="shared" si="3"/>
        <v>#REF!</v>
      </c>
      <c r="AG19" s="33" t="e">
        <f t="shared" si="3"/>
        <v>#REF!</v>
      </c>
      <c r="AH19" s="10"/>
      <c r="AI19" s="33">
        <f t="shared" si="4"/>
        <v>-115.821087722201</v>
      </c>
      <c r="AJ19" s="33">
        <f t="shared" si="5"/>
        <v>-114.63570113993198</v>
      </c>
      <c r="AK19" s="33">
        <f t="shared" si="5"/>
        <v>-111.97272455554398</v>
      </c>
      <c r="AL19" s="33">
        <f t="shared" si="5"/>
        <v>-132.88634763287109</v>
      </c>
      <c r="AM19" s="10"/>
      <c r="AN19" s="33">
        <f t="shared" si="6"/>
        <v>-111.47730799548199</v>
      </c>
      <c r="AO19" s="33">
        <f t="shared" si="7"/>
        <v>-111.766269485386</v>
      </c>
      <c r="AP19" s="33">
        <f t="shared" si="7"/>
        <v>-118.382039567964</v>
      </c>
      <c r="AQ19" s="33">
        <f t="shared" si="7"/>
        <v>-125.64567149820607</v>
      </c>
      <c r="AR19" s="10"/>
    </row>
    <row r="20" spans="2:44" s="3" customFormat="1">
      <c r="B20" s="54" t="s">
        <v>8</v>
      </c>
      <c r="C20" s="26" t="e">
        <f>+#REF!/1000</f>
        <v>#REF!</v>
      </c>
      <c r="D20" s="10"/>
      <c r="E20" s="61" t="e">
        <f>0.0283657289249999+#REF!</f>
        <v>#REF!</v>
      </c>
      <c r="F20" s="61">
        <v>-2.9371680001495398E-6</v>
      </c>
      <c r="G20" s="61" t="e">
        <f>-16.70372832244+#REF!</f>
        <v>#REF!</v>
      </c>
      <c r="H20" s="61" t="e">
        <f>IF(AND($F$7=VALUE($C$4),H$8=$C$8),$C20,0)+#REF!</f>
        <v>#REF!</v>
      </c>
      <c r="I20" s="10"/>
      <c r="J20" s="61" t="e">
        <f>-2.151301108646+#REF!</f>
        <v>#REF!</v>
      </c>
      <c r="K20" s="61" t="e">
        <f>-2.31508373016+#REF!</f>
        <v>#REF!</v>
      </c>
      <c r="L20" s="61" t="e">
        <f>-124.75456928+#REF!</f>
        <v>#REF!</v>
      </c>
      <c r="M20" s="61" t="e">
        <f>-151.142658501074+#REF!</f>
        <v>#REF!</v>
      </c>
      <c r="N20" s="10"/>
      <c r="O20" s="61">
        <v>-2.3240000000005198E-6</v>
      </c>
      <c r="P20" s="61">
        <v>5.0999999999999995E-6</v>
      </c>
      <c r="Q20" s="61">
        <v>-0.6418626745749999</v>
      </c>
      <c r="R20" s="61">
        <v>-0.64067761863000006</v>
      </c>
      <c r="S20" s="10"/>
      <c r="T20" s="61">
        <v>-1.71826458990001E-2</v>
      </c>
      <c r="U20" s="61">
        <v>1.9999999999999999E-6</v>
      </c>
      <c r="V20" s="61">
        <v>-5.9189520999999994</v>
      </c>
      <c r="W20" s="61">
        <v>-87.227949031223005</v>
      </c>
      <c r="X20" s="10"/>
      <c r="Y20" s="27" t="e">
        <f t="shared" si="0"/>
        <v>#REF!</v>
      </c>
      <c r="Z20" s="27" t="e">
        <f t="shared" si="8"/>
        <v>#REF!</v>
      </c>
      <c r="AA20" s="27" t="e">
        <f t="shared" si="1"/>
        <v>#REF!</v>
      </c>
      <c r="AB20" s="27" t="e">
        <f t="shared" si="1"/>
        <v>#REF!</v>
      </c>
      <c r="AC20" s="10"/>
      <c r="AD20" s="27" t="e">
        <f t="shared" si="2"/>
        <v>#REF!</v>
      </c>
      <c r="AE20" s="27" t="e">
        <f t="shared" si="3"/>
        <v>#REF!</v>
      </c>
      <c r="AF20" s="27" t="e">
        <f t="shared" si="3"/>
        <v>#REF!</v>
      </c>
      <c r="AG20" s="27" t="e">
        <f t="shared" si="3"/>
        <v>#REF!</v>
      </c>
      <c r="AH20" s="10"/>
      <c r="AI20" s="27">
        <f t="shared" si="4"/>
        <v>-2.3240000000005198E-6</v>
      </c>
      <c r="AJ20" s="27">
        <f t="shared" si="5"/>
        <v>7.4240000000005188E-6</v>
      </c>
      <c r="AK20" s="27">
        <f t="shared" si="5"/>
        <v>-0.64186777457499988</v>
      </c>
      <c r="AL20" s="27">
        <f t="shared" si="5"/>
        <v>1.1850559449998466E-3</v>
      </c>
      <c r="AM20" s="10"/>
      <c r="AN20" s="27">
        <f t="shared" si="6"/>
        <v>-1.71826458990001E-2</v>
      </c>
      <c r="AO20" s="27">
        <f t="shared" si="7"/>
        <v>1.7184645899000098E-2</v>
      </c>
      <c r="AP20" s="27">
        <f t="shared" si="7"/>
        <v>-5.9189540999999997</v>
      </c>
      <c r="AQ20" s="27">
        <f t="shared" si="7"/>
        <v>-81.308996931223007</v>
      </c>
      <c r="AR20" s="10"/>
    </row>
    <row r="21" spans="2:44" s="3" customFormat="1">
      <c r="B21" s="28" t="s">
        <v>407</v>
      </c>
      <c r="C21" s="29" t="e">
        <f>+C18+C19+C20</f>
        <v>#REF!</v>
      </c>
      <c r="D21" s="12"/>
      <c r="E21" s="29" t="e">
        <f>+E18+E19+E20</f>
        <v>#REF!</v>
      </c>
      <c r="F21" s="29">
        <v>-691.73854577305008</v>
      </c>
      <c r="G21" s="29" t="e">
        <f>+G18+G19+G20</f>
        <v>#REF!</v>
      </c>
      <c r="H21" s="29" t="e">
        <f>+H18+H19+H20</f>
        <v>#REF!</v>
      </c>
      <c r="I21" s="12"/>
      <c r="J21" s="29" t="e">
        <f>+J18+J19+J20</f>
        <v>#REF!</v>
      </c>
      <c r="K21" s="29" t="e">
        <f>+K18+K19+K20</f>
        <v>#REF!</v>
      </c>
      <c r="L21" s="29" t="e">
        <f>+L18+L19+L20</f>
        <v>#REF!</v>
      </c>
      <c r="M21" s="29" t="e">
        <f>+M18+M19+M20</f>
        <v>#REF!</v>
      </c>
      <c r="N21" s="12"/>
      <c r="O21" s="29">
        <f t="shared" ref="O21:W21" si="12">+O18+O19+O20</f>
        <v>-349.22849159116299</v>
      </c>
      <c r="P21" s="29">
        <f t="shared" si="12"/>
        <v>-615.12719431594826</v>
      </c>
      <c r="Q21" s="29">
        <f t="shared" si="12"/>
        <v>-820.25047792346197</v>
      </c>
      <c r="R21" s="29">
        <f t="shared" si="12"/>
        <v>-1191.1708128580563</v>
      </c>
      <c r="S21" s="12"/>
      <c r="T21" s="29">
        <f t="shared" si="12"/>
        <v>-281.204413535372</v>
      </c>
      <c r="U21" s="29">
        <f t="shared" si="12"/>
        <v>-632.28145973685901</v>
      </c>
      <c r="V21" s="29">
        <f t="shared" si="12"/>
        <v>-741.07378000192</v>
      </c>
      <c r="W21" s="29">
        <f t="shared" si="12"/>
        <v>-1015.5898497353819</v>
      </c>
      <c r="X21" s="12"/>
      <c r="Y21" s="30" t="e">
        <f t="shared" si="0"/>
        <v>#REF!</v>
      </c>
      <c r="Z21" s="30" t="e">
        <f t="shared" si="8"/>
        <v>#REF!</v>
      </c>
      <c r="AA21" s="30" t="e">
        <f t="shared" si="1"/>
        <v>#REF!</v>
      </c>
      <c r="AB21" s="30" t="e">
        <f t="shared" si="1"/>
        <v>#REF!</v>
      </c>
      <c r="AC21" s="12"/>
      <c r="AD21" s="30" t="e">
        <f t="shared" si="2"/>
        <v>#REF!</v>
      </c>
      <c r="AE21" s="30" t="e">
        <f t="shared" si="3"/>
        <v>#REF!</v>
      </c>
      <c r="AF21" s="30" t="e">
        <f t="shared" si="3"/>
        <v>#REF!</v>
      </c>
      <c r="AG21" s="30" t="e">
        <f t="shared" si="3"/>
        <v>#REF!</v>
      </c>
      <c r="AH21" s="12"/>
      <c r="AI21" s="30">
        <f t="shared" si="4"/>
        <v>-349.22849159116299</v>
      </c>
      <c r="AJ21" s="30">
        <f t="shared" si="5"/>
        <v>-265.89870272478527</v>
      </c>
      <c r="AK21" s="30">
        <f t="shared" si="5"/>
        <v>-205.12328360751371</v>
      </c>
      <c r="AL21" s="30">
        <f t="shared" si="5"/>
        <v>-370.92033493459428</v>
      </c>
      <c r="AM21" s="12"/>
      <c r="AN21" s="30">
        <f t="shared" si="6"/>
        <v>-281.204413535372</v>
      </c>
      <c r="AO21" s="30">
        <f t="shared" si="7"/>
        <v>-351.07704620148701</v>
      </c>
      <c r="AP21" s="30">
        <f t="shared" si="7"/>
        <v>-108.79232026506099</v>
      </c>
      <c r="AQ21" s="30">
        <f t="shared" si="7"/>
        <v>-274.5160697334619</v>
      </c>
      <c r="AR21" s="12"/>
    </row>
    <row r="22" spans="2:44" s="3" customFormat="1">
      <c r="B22" s="31" t="s">
        <v>383</v>
      </c>
      <c r="C22" s="32" t="e">
        <f>#REF!/1000</f>
        <v>#REF!</v>
      </c>
      <c r="D22" s="10"/>
      <c r="E22" s="60" t="e">
        <f>-154.140319326051+#REF!</f>
        <v>#REF!</v>
      </c>
      <c r="F22" s="60">
        <v>-391.998014667429</v>
      </c>
      <c r="G22" s="60" t="e">
        <f>-627.385276609986+#REF!</f>
        <v>#REF!</v>
      </c>
      <c r="H22" s="60" t="e">
        <f>IF(AND($F$7=VALUE($C$4),H$8=$C$8),$C22,0)+#REF!</f>
        <v>#REF!</v>
      </c>
      <c r="I22" s="10"/>
      <c r="J22" s="60" t="e">
        <f>-3.4325861147459+#REF!</f>
        <v>#REF!</v>
      </c>
      <c r="K22" s="60" t="e">
        <f>19.5189485259324+#REF!</f>
        <v>#REF!</v>
      </c>
      <c r="L22" s="60" t="e">
        <f>15.0483061257472++#REF!</f>
        <v>#REF!</v>
      </c>
      <c r="M22" s="60" t="e">
        <f>-16.7185610623622+#REF!</f>
        <v>#REF!</v>
      </c>
      <c r="N22" s="10"/>
      <c r="O22" s="60">
        <v>-22.402508752290601</v>
      </c>
      <c r="P22" s="60">
        <v>-28.1400366975022</v>
      </c>
      <c r="Q22" s="60">
        <v>-31.412106065680703</v>
      </c>
      <c r="R22" s="60">
        <v>-64.121958275847589</v>
      </c>
      <c r="S22" s="10"/>
      <c r="T22" s="60">
        <v>-3.3687551919160903</v>
      </c>
      <c r="U22" s="60">
        <v>83.425381854737893</v>
      </c>
      <c r="V22" s="60">
        <v>91.51128371326601</v>
      </c>
      <c r="W22" s="60">
        <v>80.396445009924506</v>
      </c>
      <c r="X22" s="10"/>
      <c r="Y22" s="33" t="e">
        <f t="shared" si="0"/>
        <v>#REF!</v>
      </c>
      <c r="Z22" s="33" t="e">
        <f t="shared" si="8"/>
        <v>#REF!</v>
      </c>
      <c r="AA22" s="33" t="e">
        <f t="shared" si="1"/>
        <v>#REF!</v>
      </c>
      <c r="AB22" s="33" t="e">
        <f t="shared" si="1"/>
        <v>#REF!</v>
      </c>
      <c r="AC22" s="10"/>
      <c r="AD22" s="33" t="e">
        <f t="shared" si="2"/>
        <v>#REF!</v>
      </c>
      <c r="AE22" s="33" t="e">
        <f t="shared" si="3"/>
        <v>#REF!</v>
      </c>
      <c r="AF22" s="33" t="e">
        <f t="shared" si="3"/>
        <v>#REF!</v>
      </c>
      <c r="AG22" s="33" t="e">
        <f t="shared" si="3"/>
        <v>#REF!</v>
      </c>
      <c r="AH22" s="10"/>
      <c r="AI22" s="33">
        <f t="shared" si="4"/>
        <v>-22.402508752290601</v>
      </c>
      <c r="AJ22" s="33">
        <f t="shared" si="5"/>
        <v>-5.7375279452115997</v>
      </c>
      <c r="AK22" s="33">
        <f t="shared" si="5"/>
        <v>-3.2720693681785029</v>
      </c>
      <c r="AL22" s="33">
        <f t="shared" si="5"/>
        <v>-32.709852210166886</v>
      </c>
      <c r="AM22" s="10"/>
      <c r="AN22" s="33">
        <f t="shared" si="6"/>
        <v>-3.3687551919160903</v>
      </c>
      <c r="AO22" s="33">
        <f t="shared" si="7"/>
        <v>86.794137046653987</v>
      </c>
      <c r="AP22" s="33">
        <f t="shared" si="7"/>
        <v>8.0859018585281177</v>
      </c>
      <c r="AQ22" s="33">
        <f t="shared" si="7"/>
        <v>-11.114838703341505</v>
      </c>
      <c r="AR22" s="10"/>
    </row>
    <row r="23" spans="2:44" s="3" customFormat="1">
      <c r="B23" s="25" t="s">
        <v>321</v>
      </c>
      <c r="C23" s="26" t="e">
        <f>#REF!/1000</f>
        <v>#REF!</v>
      </c>
      <c r="D23" s="10"/>
      <c r="E23" s="61" t="e">
        <f>-264.722429820452+#REF!</f>
        <v>#REF!</v>
      </c>
      <c r="F23" s="61">
        <v>-410.27017464272603</v>
      </c>
      <c r="G23" s="61" t="e">
        <f>-485.354139767682+#REF!</f>
        <v>#REF!</v>
      </c>
      <c r="H23" s="61" t="e">
        <f>IF(AND($F$7=VALUE($C$4),H$8=$C$8),$C23,0)+#REF!</f>
        <v>#REF!</v>
      </c>
      <c r="I23" s="10"/>
      <c r="J23" s="61" t="e">
        <f>-84.2251265753026+#REF!</f>
        <v>#REF!</v>
      </c>
      <c r="K23" s="61" t="e">
        <f>-15.4362946627727+#REF!</f>
        <v>#REF!</v>
      </c>
      <c r="L23" s="61" t="e">
        <f>-370.720615838876+#REF!</f>
        <v>#REF!</v>
      </c>
      <c r="M23" s="61" t="e">
        <f>-548.949987880434+#REF!</f>
        <v>#REF!</v>
      </c>
      <c r="N23" s="10"/>
      <c r="O23" s="61">
        <v>786.53355253571704</v>
      </c>
      <c r="P23" s="61">
        <v>246.50809309357697</v>
      </c>
      <c r="Q23" s="61">
        <v>68.934069351103204</v>
      </c>
      <c r="R23" s="61">
        <v>-90.130011696093206</v>
      </c>
      <c r="S23" s="10"/>
      <c r="T23" s="61">
        <v>-87.268290314729896</v>
      </c>
      <c r="U23" s="61">
        <v>279.79998606045598</v>
      </c>
      <c r="V23" s="61">
        <v>105.61349676218099</v>
      </c>
      <c r="W23" s="61">
        <v>-100.58200850668</v>
      </c>
      <c r="X23" s="10"/>
      <c r="Y23" s="27" t="e">
        <f t="shared" si="0"/>
        <v>#REF!</v>
      </c>
      <c r="Z23" s="27" t="e">
        <f t="shared" si="8"/>
        <v>#REF!</v>
      </c>
      <c r="AA23" s="27" t="e">
        <f t="shared" si="1"/>
        <v>#REF!</v>
      </c>
      <c r="AB23" s="27" t="e">
        <f t="shared" si="1"/>
        <v>#REF!</v>
      </c>
      <c r="AC23" s="10"/>
      <c r="AD23" s="27" t="e">
        <f t="shared" si="2"/>
        <v>#REF!</v>
      </c>
      <c r="AE23" s="27" t="e">
        <f t="shared" si="3"/>
        <v>#REF!</v>
      </c>
      <c r="AF23" s="27" t="e">
        <f t="shared" si="3"/>
        <v>#REF!</v>
      </c>
      <c r="AG23" s="27" t="e">
        <f t="shared" si="3"/>
        <v>#REF!</v>
      </c>
      <c r="AH23" s="10"/>
      <c r="AI23" s="27">
        <f t="shared" si="4"/>
        <v>786.53355253571704</v>
      </c>
      <c r="AJ23" s="27">
        <f t="shared" si="5"/>
        <v>-540.02545944214012</v>
      </c>
      <c r="AK23" s="27">
        <f t="shared" si="5"/>
        <v>-177.57402374247377</v>
      </c>
      <c r="AL23" s="27">
        <f t="shared" si="5"/>
        <v>-159.0640810471964</v>
      </c>
      <c r="AM23" s="10"/>
      <c r="AN23" s="27">
        <f t="shared" si="6"/>
        <v>-87.268290314729896</v>
      </c>
      <c r="AO23" s="27">
        <f t="shared" si="7"/>
        <v>367.06827637518586</v>
      </c>
      <c r="AP23" s="27">
        <f t="shared" si="7"/>
        <v>-174.18648929827498</v>
      </c>
      <c r="AQ23" s="27">
        <f t="shared" si="7"/>
        <v>-206.19550526886098</v>
      </c>
      <c r="AR23" s="10"/>
    </row>
    <row r="24" spans="2:44" s="3" customFormat="1">
      <c r="B24" s="28" t="s">
        <v>384</v>
      </c>
      <c r="C24" s="29" t="e">
        <f>SUM(C21:C23)</f>
        <v>#REF!</v>
      </c>
      <c r="D24" s="12"/>
      <c r="E24" s="29" t="e">
        <f>SUM(E21:E23)</f>
        <v>#REF!</v>
      </c>
      <c r="F24" s="29">
        <v>-1494.0067350832051</v>
      </c>
      <c r="G24" s="29" t="e">
        <f>SUM(G21:G23)</f>
        <v>#REF!</v>
      </c>
      <c r="H24" s="29" t="e">
        <f>SUM(H21:H23)</f>
        <v>#REF!</v>
      </c>
      <c r="I24" s="12"/>
      <c r="J24" s="29" t="e">
        <f>SUM(J21:J23)</f>
        <v>#REF!</v>
      </c>
      <c r="K24" s="29" t="e">
        <f>SUM(K21:K23)</f>
        <v>#REF!</v>
      </c>
      <c r="L24" s="29" t="e">
        <f>SUM(L21:L23)</f>
        <v>#REF!</v>
      </c>
      <c r="M24" s="29" t="e">
        <f>SUM(M21:M23)</f>
        <v>#REF!</v>
      </c>
      <c r="N24" s="12"/>
      <c r="O24" s="29">
        <f t="shared" ref="O24:W24" si="13">SUM(O21:O23)</f>
        <v>414.90255219226344</v>
      </c>
      <c r="P24" s="29">
        <f t="shared" si="13"/>
        <v>-396.75913791987347</v>
      </c>
      <c r="Q24" s="29">
        <f t="shared" si="13"/>
        <v>-782.72851463803954</v>
      </c>
      <c r="R24" s="29">
        <f t="shared" si="13"/>
        <v>-1345.422782829997</v>
      </c>
      <c r="S24" s="12"/>
      <c r="T24" s="29">
        <f t="shared" si="13"/>
        <v>-371.84145904201796</v>
      </c>
      <c r="U24" s="29">
        <f t="shared" si="13"/>
        <v>-269.05609182166512</v>
      </c>
      <c r="V24" s="29">
        <f t="shared" si="13"/>
        <v>-543.94899952647302</v>
      </c>
      <c r="W24" s="29">
        <f t="shared" si="13"/>
        <v>-1035.7754132321375</v>
      </c>
      <c r="X24" s="12"/>
      <c r="Y24" s="30" t="e">
        <f t="shared" si="0"/>
        <v>#REF!</v>
      </c>
      <c r="Z24" s="30" t="e">
        <f t="shared" si="8"/>
        <v>#REF!</v>
      </c>
      <c r="AA24" s="30" t="e">
        <f t="shared" si="1"/>
        <v>#REF!</v>
      </c>
      <c r="AB24" s="30" t="e">
        <f t="shared" si="1"/>
        <v>#REF!</v>
      </c>
      <c r="AC24" s="12"/>
      <c r="AD24" s="30" t="e">
        <f t="shared" si="2"/>
        <v>#REF!</v>
      </c>
      <c r="AE24" s="30" t="e">
        <f t="shared" si="3"/>
        <v>#REF!</v>
      </c>
      <c r="AF24" s="30" t="e">
        <f t="shared" si="3"/>
        <v>#REF!</v>
      </c>
      <c r="AG24" s="30" t="e">
        <f t="shared" si="3"/>
        <v>#REF!</v>
      </c>
      <c r="AH24" s="12"/>
      <c r="AI24" s="30">
        <f t="shared" si="4"/>
        <v>414.90255219226344</v>
      </c>
      <c r="AJ24" s="30">
        <f t="shared" si="5"/>
        <v>-811.66169011213697</v>
      </c>
      <c r="AK24" s="30">
        <f t="shared" si="5"/>
        <v>-385.96937671816607</v>
      </c>
      <c r="AL24" s="30">
        <f t="shared" si="5"/>
        <v>-562.69426819195746</v>
      </c>
      <c r="AM24" s="12"/>
      <c r="AN24" s="30">
        <f t="shared" si="6"/>
        <v>-371.84145904201796</v>
      </c>
      <c r="AO24" s="30">
        <f t="shared" si="7"/>
        <v>102.78536722035284</v>
      </c>
      <c r="AP24" s="30">
        <f t="shared" si="7"/>
        <v>-274.8929077048079</v>
      </c>
      <c r="AQ24" s="30">
        <f t="shared" si="7"/>
        <v>-491.82641370566444</v>
      </c>
      <c r="AR24" s="12"/>
    </row>
    <row r="25" spans="2:44">
      <c r="B25" s="14"/>
      <c r="C25" s="15"/>
      <c r="D25" s="10"/>
      <c r="E25" s="73"/>
      <c r="F25" s="73"/>
      <c r="G25" s="73"/>
      <c r="H25" s="73"/>
      <c r="I25" s="10"/>
      <c r="J25" s="73"/>
      <c r="K25" s="73"/>
      <c r="L25" s="73"/>
      <c r="M25" s="73"/>
      <c r="N25" s="10"/>
      <c r="O25" s="73"/>
      <c r="P25" s="73"/>
      <c r="Q25" s="73"/>
      <c r="R25" s="73"/>
      <c r="S25" s="10"/>
      <c r="T25" s="73"/>
      <c r="U25" s="73"/>
      <c r="V25" s="73"/>
      <c r="W25" s="73"/>
      <c r="X25" s="10"/>
      <c r="Y25" s="15"/>
      <c r="Z25" s="9"/>
      <c r="AA25" s="9"/>
      <c r="AB25" s="9"/>
      <c r="AC25" s="10"/>
      <c r="AD25" s="15"/>
      <c r="AE25" s="9"/>
      <c r="AF25" s="9"/>
      <c r="AG25" s="9"/>
      <c r="AH25" s="10"/>
      <c r="AI25" s="15"/>
      <c r="AJ25" s="9"/>
      <c r="AK25" s="9"/>
      <c r="AL25" s="9"/>
      <c r="AM25" s="10"/>
      <c r="AN25" s="15"/>
      <c r="AO25" s="9"/>
      <c r="AP25" s="9"/>
      <c r="AQ25" s="9"/>
      <c r="AR25" s="10"/>
    </row>
    <row r="26" spans="2:44">
      <c r="B26" s="36" t="s">
        <v>15</v>
      </c>
      <c r="C26" s="37" t="e">
        <f>#REF!/1000</f>
        <v>#REF!</v>
      </c>
      <c r="D26" s="10"/>
      <c r="E26" s="59">
        <f>166.4870202</f>
        <v>166.48702019999999</v>
      </c>
      <c r="F26" s="59">
        <v>362.76375439240002</v>
      </c>
      <c r="G26" s="59">
        <f>465.168857232</f>
        <v>465.16885723199999</v>
      </c>
      <c r="H26" s="59" t="e">
        <f>IF(AND($F$7=VALUE($C$4),H$8=$C$8),$C26,0)</f>
        <v>#REF!</v>
      </c>
      <c r="I26" s="10"/>
      <c r="J26" s="59">
        <f>119.1843102</f>
        <v>119.1843102</v>
      </c>
      <c r="K26" s="59">
        <f>291.3070049</f>
        <v>291.30700489999998</v>
      </c>
      <c r="L26" s="59">
        <f>447.0685604</f>
        <v>447.06856040000002</v>
      </c>
      <c r="M26" s="59">
        <f>617.51194482</f>
        <v>617.51194482000005</v>
      </c>
      <c r="N26" s="88"/>
      <c r="O26" s="59">
        <v>85.386094400000005</v>
      </c>
      <c r="P26" s="59">
        <v>277.11784880000005</v>
      </c>
      <c r="Q26" s="59">
        <v>488.71823879999999</v>
      </c>
      <c r="R26" s="59">
        <v>655.04354049999995</v>
      </c>
      <c r="S26" s="88"/>
      <c r="T26" s="59">
        <v>59.535305600000001</v>
      </c>
      <c r="U26" s="59">
        <v>129.291345976</v>
      </c>
      <c r="V26" s="59">
        <v>182.03999230000002</v>
      </c>
      <c r="W26" s="59">
        <v>259.92936702399999</v>
      </c>
      <c r="X26" s="10"/>
      <c r="Y26" s="33">
        <f>+E26</f>
        <v>166.48702019999999</v>
      </c>
      <c r="Z26" s="33">
        <f t="shared" ref="Z26:AB27" si="14">+F26-E26</f>
        <v>196.27673419240003</v>
      </c>
      <c r="AA26" s="33">
        <f t="shared" si="14"/>
        <v>102.40510283959998</v>
      </c>
      <c r="AB26" s="33" t="e">
        <f t="shared" si="14"/>
        <v>#REF!</v>
      </c>
      <c r="AC26" s="10"/>
      <c r="AD26" s="33">
        <f>+J26</f>
        <v>119.1843102</v>
      </c>
      <c r="AE26" s="33">
        <f t="shared" ref="AE26:AG27" si="15">+K26-J26</f>
        <v>172.12269469999998</v>
      </c>
      <c r="AF26" s="33">
        <f t="shared" si="15"/>
        <v>155.76155550000004</v>
      </c>
      <c r="AG26" s="33">
        <f t="shared" si="15"/>
        <v>170.44338442000003</v>
      </c>
      <c r="AH26" s="10"/>
      <c r="AI26" s="38">
        <f>+O26</f>
        <v>85.386094400000005</v>
      </c>
      <c r="AJ26" s="38">
        <f t="shared" ref="AJ26:AL27" si="16">+P26-O26</f>
        <v>191.73175440000006</v>
      </c>
      <c r="AK26" s="38">
        <f t="shared" si="16"/>
        <v>211.60038999999995</v>
      </c>
      <c r="AL26" s="38">
        <f t="shared" si="16"/>
        <v>166.32530169999995</v>
      </c>
      <c r="AM26" s="10"/>
      <c r="AN26" s="38">
        <f>+T26</f>
        <v>59.535305600000001</v>
      </c>
      <c r="AO26" s="38">
        <f t="shared" ref="AO26:AQ27" si="17">+U26-T26</f>
        <v>69.756040376000001</v>
      </c>
      <c r="AP26" s="38">
        <f t="shared" si="17"/>
        <v>52.748646324000021</v>
      </c>
      <c r="AQ26" s="38">
        <f t="shared" si="17"/>
        <v>77.889374723999964</v>
      </c>
      <c r="AR26" s="10"/>
    </row>
    <row r="27" spans="2:44">
      <c r="B27" s="36" t="s">
        <v>0</v>
      </c>
      <c r="C27" s="37" t="e">
        <f>#REF!/1000</f>
        <v>#REF!</v>
      </c>
      <c r="D27" s="10"/>
      <c r="E27" s="59" t="e">
        <f>171.291+#REF!</f>
        <v>#REF!</v>
      </c>
      <c r="F27" s="59">
        <v>328.95</v>
      </c>
      <c r="G27" s="59" t="e">
        <f>452.378+#REF!</f>
        <v>#REF!</v>
      </c>
      <c r="H27" s="59" t="e">
        <f>IF(AND($F$7=VALUE($C$4),H$8=$C$8),$C27,0)+#REF!</f>
        <v>#REF!</v>
      </c>
      <c r="I27" s="10"/>
      <c r="J27" s="59" t="e">
        <f>24.087+#REF!</f>
        <v>#REF!</v>
      </c>
      <c r="K27" s="59" t="e">
        <f>32.307++#REF!</f>
        <v>#REF!</v>
      </c>
      <c r="L27" s="59" t="e">
        <f>5251.719+#REF!</f>
        <v>#REF!</v>
      </c>
      <c r="M27" s="59" t="e">
        <f>6676.402694731++#REF!</f>
        <v>#REF!</v>
      </c>
      <c r="N27" s="10"/>
      <c r="O27" s="59">
        <v>2178.0649003000003</v>
      </c>
      <c r="P27" s="59">
        <v>6330.76224</v>
      </c>
      <c r="Q27" s="59">
        <v>6988.7888578000002</v>
      </c>
      <c r="R27" s="59">
        <v>6996.6040000000003</v>
      </c>
      <c r="S27" s="10"/>
      <c r="T27" s="59">
        <v>4</v>
      </c>
      <c r="U27" s="59">
        <v>6.64</v>
      </c>
      <c r="V27" s="59">
        <v>94.206999999999994</v>
      </c>
      <c r="W27" s="59">
        <v>335.99726500000003</v>
      </c>
      <c r="X27" s="10"/>
      <c r="Y27" s="27" t="e">
        <f>+E27</f>
        <v>#REF!</v>
      </c>
      <c r="Z27" s="27" t="e">
        <f t="shared" si="14"/>
        <v>#REF!</v>
      </c>
      <c r="AA27" s="27" t="e">
        <f t="shared" si="14"/>
        <v>#REF!</v>
      </c>
      <c r="AB27" s="27" t="e">
        <f t="shared" si="14"/>
        <v>#REF!</v>
      </c>
      <c r="AC27" s="10"/>
      <c r="AD27" s="27" t="e">
        <f>+J27</f>
        <v>#REF!</v>
      </c>
      <c r="AE27" s="27" t="e">
        <f t="shared" si="15"/>
        <v>#REF!</v>
      </c>
      <c r="AF27" s="27" t="e">
        <f t="shared" si="15"/>
        <v>#REF!</v>
      </c>
      <c r="AG27" s="27" t="e">
        <f t="shared" si="15"/>
        <v>#REF!</v>
      </c>
      <c r="AH27" s="10"/>
      <c r="AI27" s="38">
        <f>+O27</f>
        <v>2178.0649003000003</v>
      </c>
      <c r="AJ27" s="38">
        <f t="shared" si="16"/>
        <v>4152.6973397000002</v>
      </c>
      <c r="AK27" s="38">
        <f t="shared" si="16"/>
        <v>658.02661780000017</v>
      </c>
      <c r="AL27" s="38">
        <f t="shared" si="16"/>
        <v>7.8151422000000821</v>
      </c>
      <c r="AM27" s="10"/>
      <c r="AN27" s="38">
        <f>+T27</f>
        <v>4</v>
      </c>
      <c r="AO27" s="38">
        <f t="shared" si="17"/>
        <v>2.6399999999999997</v>
      </c>
      <c r="AP27" s="38">
        <f t="shared" si="17"/>
        <v>87.566999999999993</v>
      </c>
      <c r="AQ27" s="38">
        <f t="shared" si="17"/>
        <v>241.79026500000003</v>
      </c>
      <c r="AR27" s="10"/>
    </row>
    <row r="28" spans="2:44">
      <c r="B28" s="14"/>
      <c r="C28" s="14"/>
      <c r="D28" s="10"/>
      <c r="E28" s="13"/>
      <c r="F28" s="13"/>
      <c r="G28" s="13"/>
      <c r="H28" s="13"/>
      <c r="I28" s="10"/>
      <c r="J28" s="13"/>
      <c r="K28" s="13"/>
      <c r="L28" s="13"/>
      <c r="M28" s="13"/>
      <c r="N28" s="10"/>
      <c r="O28" s="73"/>
      <c r="P28" s="82"/>
      <c r="Q28" s="73"/>
      <c r="R28" s="73"/>
      <c r="S28" s="10"/>
      <c r="T28" s="7"/>
      <c r="U28" s="14"/>
      <c r="V28" s="7"/>
      <c r="W28" s="7"/>
      <c r="X28" s="10"/>
      <c r="Y28" s="7"/>
      <c r="Z28" s="7"/>
      <c r="AA28" s="7"/>
      <c r="AB28" s="7"/>
      <c r="AC28" s="10"/>
      <c r="AD28" s="7"/>
      <c r="AE28" s="7"/>
      <c r="AF28" s="7"/>
      <c r="AG28" s="7"/>
      <c r="AH28" s="10"/>
      <c r="AI28" s="7"/>
      <c r="AJ28" s="7"/>
      <c r="AK28" s="7"/>
      <c r="AL28" s="7"/>
      <c r="AM28" s="10"/>
      <c r="AN28" s="7"/>
      <c r="AO28" s="7"/>
      <c r="AP28" s="7"/>
      <c r="AQ28" s="7"/>
      <c r="AR28" s="10"/>
    </row>
    <row r="29" spans="2:44" s="5" customFormat="1">
      <c r="C29" s="9"/>
      <c r="D29" s="10"/>
      <c r="E29" s="9"/>
      <c r="F29" s="9"/>
      <c r="G29" s="9"/>
      <c r="H29" s="9"/>
      <c r="I29" s="10"/>
      <c r="J29" s="9"/>
      <c r="K29" s="9"/>
      <c r="L29" s="9"/>
      <c r="M29" s="9"/>
      <c r="N29" s="10"/>
      <c r="O29" s="9"/>
      <c r="P29" s="9"/>
      <c r="Q29" s="9"/>
      <c r="R29" s="9"/>
      <c r="S29" s="10"/>
      <c r="T29" s="9"/>
      <c r="U29" s="9"/>
      <c r="V29" s="9"/>
      <c r="W29" s="9"/>
      <c r="X29" s="10"/>
      <c r="Y29" s="2"/>
      <c r="Z29" s="2"/>
      <c r="AA29" s="2"/>
      <c r="AB29" s="2"/>
      <c r="AC29" s="10"/>
      <c r="AD29" s="2"/>
      <c r="AE29" s="2"/>
      <c r="AF29" s="2"/>
      <c r="AG29" s="2"/>
      <c r="AH29" s="10"/>
      <c r="AI29" s="2"/>
      <c r="AJ29" s="2"/>
      <c r="AK29" s="2"/>
      <c r="AL29" s="2"/>
      <c r="AM29" s="10"/>
      <c r="AN29" s="2"/>
      <c r="AO29" s="2"/>
      <c r="AP29" s="2"/>
      <c r="AQ29" s="2"/>
      <c r="AR29" s="10"/>
    </row>
    <row r="30" spans="2:44">
      <c r="E30" s="67"/>
      <c r="F30" s="83"/>
      <c r="G30" s="67"/>
      <c r="H30" s="67"/>
      <c r="Y30" s="3"/>
      <c r="Z30" s="3"/>
      <c r="AA30" s="3"/>
      <c r="AB30" s="3"/>
    </row>
    <row r="31" spans="2:44" s="3" customFormat="1">
      <c r="B31" s="5"/>
      <c r="C31" s="9"/>
      <c r="D31" s="51"/>
      <c r="E31" s="67"/>
      <c r="F31" s="83"/>
      <c r="G31" s="67"/>
      <c r="H31" s="67"/>
      <c r="I31" s="51"/>
      <c r="J31" s="67"/>
      <c r="K31" s="83"/>
      <c r="L31" s="67"/>
      <c r="M31" s="67"/>
      <c r="N31" s="51"/>
      <c r="O31" s="67"/>
      <c r="P31" s="83"/>
      <c r="Q31" s="67"/>
      <c r="R31" s="67"/>
      <c r="S31" s="51"/>
      <c r="T31" s="9"/>
      <c r="U31" s="9"/>
      <c r="V31" s="9"/>
      <c r="W31" s="9"/>
      <c r="X31" s="51"/>
      <c r="Y31" s="9"/>
      <c r="Z31" s="9"/>
      <c r="AA31" s="9"/>
      <c r="AB31" s="9"/>
      <c r="AC31" s="51"/>
      <c r="AD31" s="9"/>
      <c r="AE31" s="9"/>
      <c r="AF31" s="9"/>
      <c r="AG31" s="9"/>
      <c r="AH31" s="51"/>
      <c r="AI31" s="9"/>
      <c r="AJ31" s="9"/>
      <c r="AK31" s="9"/>
      <c r="AL31" s="9"/>
      <c r="AM31" s="51"/>
      <c r="AN31" s="9"/>
      <c r="AO31" s="9"/>
      <c r="AP31" s="9"/>
      <c r="AQ31" s="9"/>
      <c r="AR31" s="51"/>
    </row>
    <row r="32" spans="2:44">
      <c r="B32" s="14"/>
      <c r="C32" s="14"/>
      <c r="D32" s="10"/>
      <c r="E32" s="84"/>
      <c r="F32" s="193"/>
      <c r="G32" s="193"/>
      <c r="H32" s="84"/>
      <c r="I32" s="10"/>
      <c r="J32" s="84"/>
      <c r="K32" s="193"/>
      <c r="L32" s="193"/>
      <c r="M32" s="84"/>
      <c r="N32" s="10"/>
      <c r="O32" s="84"/>
      <c r="P32" s="193"/>
      <c r="Q32" s="193"/>
      <c r="R32" s="84"/>
      <c r="S32" s="10"/>
      <c r="T32" s="7"/>
      <c r="U32" s="14"/>
      <c r="V32" s="7"/>
      <c r="W32" s="7"/>
      <c r="X32" s="10"/>
      <c r="Y32" s="3"/>
      <c r="Z32" s="3"/>
      <c r="AA32" s="3"/>
      <c r="AB32" s="3"/>
      <c r="AC32" s="10"/>
      <c r="AH32" s="10"/>
      <c r="AM32" s="10"/>
      <c r="AR32" s="10"/>
    </row>
    <row r="33" spans="2:44">
      <c r="B33" s="19" t="s">
        <v>395</v>
      </c>
      <c r="C33" s="19"/>
      <c r="D33" s="6"/>
      <c r="E33" s="70"/>
      <c r="F33" s="194">
        <f>$F$7</f>
        <v>2014</v>
      </c>
      <c r="G33" s="194"/>
      <c r="H33" s="70"/>
      <c r="I33" s="6"/>
      <c r="J33" s="70"/>
      <c r="K33" s="194">
        <f>$K$7</f>
        <v>2013</v>
      </c>
      <c r="L33" s="194"/>
      <c r="M33" s="70"/>
      <c r="N33" s="6"/>
      <c r="O33" s="70"/>
      <c r="P33" s="194">
        <f>$P$7</f>
        <v>2012</v>
      </c>
      <c r="Q33" s="194"/>
      <c r="R33" s="70"/>
      <c r="S33" s="6"/>
      <c r="T33" s="22"/>
      <c r="U33" s="192">
        <f>$U$7</f>
        <v>2011</v>
      </c>
      <c r="V33" s="192"/>
      <c r="W33" s="22"/>
      <c r="X33" s="6"/>
      <c r="Y33" s="22"/>
      <c r="Z33" s="192">
        <f>$Z$7</f>
        <v>2014</v>
      </c>
      <c r="AA33" s="192"/>
      <c r="AB33" s="22"/>
      <c r="AC33" s="6"/>
      <c r="AD33" s="22"/>
      <c r="AE33" s="192">
        <f>$AE$7</f>
        <v>2013</v>
      </c>
      <c r="AF33" s="192"/>
      <c r="AG33" s="22"/>
      <c r="AH33" s="6"/>
      <c r="AI33" s="22"/>
      <c r="AJ33" s="192">
        <f>$AJ$7</f>
        <v>2012</v>
      </c>
      <c r="AK33" s="192"/>
      <c r="AL33" s="22"/>
      <c r="AM33" s="6"/>
      <c r="AN33" s="22"/>
      <c r="AO33" s="192">
        <f>$AO$7</f>
        <v>2011</v>
      </c>
      <c r="AP33" s="192"/>
      <c r="AQ33" s="22"/>
      <c r="AR33" s="6"/>
    </row>
    <row r="34" spans="2:44" ht="16" thickBot="1">
      <c r="B34" s="20" t="s">
        <v>16</v>
      </c>
      <c r="C34" s="21" t="e">
        <f>IF(RIGHT(#REF!,2)="12",RIGHT(#REF!,2)&amp;"M",RIGHT(#REF!,1)&amp;"M")</f>
        <v>#REF!</v>
      </c>
      <c r="E34" s="71" t="s">
        <v>403</v>
      </c>
      <c r="F34" s="71" t="s">
        <v>404</v>
      </c>
      <c r="G34" s="71" t="s">
        <v>405</v>
      </c>
      <c r="H34" s="71" t="s">
        <v>406</v>
      </c>
      <c r="J34" s="71" t="s">
        <v>403</v>
      </c>
      <c r="K34" s="71" t="s">
        <v>404</v>
      </c>
      <c r="L34" s="71" t="s">
        <v>405</v>
      </c>
      <c r="M34" s="71" t="s">
        <v>406</v>
      </c>
      <c r="O34" s="71" t="s">
        <v>403</v>
      </c>
      <c r="P34" s="71" t="s">
        <v>404</v>
      </c>
      <c r="Q34" s="71" t="s">
        <v>405</v>
      </c>
      <c r="R34" s="71" t="s">
        <v>406</v>
      </c>
      <c r="T34" s="21" t="s">
        <v>403</v>
      </c>
      <c r="U34" s="21" t="s">
        <v>404</v>
      </c>
      <c r="V34" s="21" t="s">
        <v>405</v>
      </c>
      <c r="W34" s="21" t="s">
        <v>406</v>
      </c>
      <c r="Y34" s="21" t="s">
        <v>390</v>
      </c>
      <c r="Z34" s="21" t="s">
        <v>391</v>
      </c>
      <c r="AA34" s="21" t="s">
        <v>392</v>
      </c>
      <c r="AB34" s="21" t="s">
        <v>393</v>
      </c>
      <c r="AD34" s="21" t="s">
        <v>390</v>
      </c>
      <c r="AE34" s="21" t="s">
        <v>391</v>
      </c>
      <c r="AF34" s="21" t="s">
        <v>392</v>
      </c>
      <c r="AG34" s="21" t="s">
        <v>393</v>
      </c>
      <c r="AI34" s="21" t="s">
        <v>390</v>
      </c>
      <c r="AJ34" s="21" t="s">
        <v>391</v>
      </c>
      <c r="AK34" s="21" t="s">
        <v>392</v>
      </c>
      <c r="AL34" s="21" t="s">
        <v>393</v>
      </c>
      <c r="AN34" s="21" t="s">
        <v>390</v>
      </c>
      <c r="AO34" s="21" t="s">
        <v>391</v>
      </c>
      <c r="AP34" s="21" t="s">
        <v>392</v>
      </c>
      <c r="AQ34" s="21" t="s">
        <v>393</v>
      </c>
    </row>
    <row r="35" spans="2:44" s="3" customFormat="1">
      <c r="B35" s="36" t="s">
        <v>302</v>
      </c>
      <c r="C35" s="37" t="e">
        <f>#REF!/1000</f>
        <v>#REF!</v>
      </c>
      <c r="D35" s="10"/>
      <c r="E35" s="59">
        <v>88.684084880599997</v>
      </c>
      <c r="F35" s="59">
        <v>179.14783527013799</v>
      </c>
      <c r="G35" s="59">
        <v>262.04112780429398</v>
      </c>
      <c r="H35" s="59" t="e">
        <f>IF(AND($F$7=VALUE($C$4),H$8=$C$8),$C35,0)</f>
        <v>#REF!</v>
      </c>
      <c r="I35" s="10"/>
      <c r="J35" s="59">
        <v>68.311599905999998</v>
      </c>
      <c r="K35" s="59">
        <v>164.42677926481301</v>
      </c>
      <c r="L35" s="59">
        <v>239.23771085460899</v>
      </c>
      <c r="M35" s="59">
        <v>326.32340933283399</v>
      </c>
      <c r="N35" s="10"/>
      <c r="O35" s="59">
        <v>83.331509917899993</v>
      </c>
      <c r="P35" s="59">
        <v>165.03838112599999</v>
      </c>
      <c r="Q35" s="59">
        <v>235.071636454274</v>
      </c>
      <c r="R35" s="59">
        <v>334.55639374734</v>
      </c>
      <c r="S35" s="10"/>
      <c r="T35" s="59">
        <v>75.038396383099993</v>
      </c>
      <c r="U35" s="59">
        <v>156.29900809619997</v>
      </c>
      <c r="V35" s="59">
        <v>234.74715664950003</v>
      </c>
      <c r="W35" s="59">
        <v>320.98881743240003</v>
      </c>
      <c r="X35" s="10"/>
      <c r="Y35" s="37">
        <f t="shared" ref="Y35:Y50" si="18">+E35</f>
        <v>88.684084880599997</v>
      </c>
      <c r="Z35" s="37">
        <f t="shared" ref="Z35:AB50" si="19">+F35-E35</f>
        <v>90.463750389537992</v>
      </c>
      <c r="AA35" s="37">
        <f t="shared" si="19"/>
        <v>82.893292534155989</v>
      </c>
      <c r="AB35" s="37" t="e">
        <f t="shared" si="19"/>
        <v>#REF!</v>
      </c>
      <c r="AC35" s="10"/>
      <c r="AD35" s="37">
        <f t="shared" ref="AD35:AD50" si="20">+J35</f>
        <v>68.311599905999998</v>
      </c>
      <c r="AE35" s="37">
        <f t="shared" ref="AE35:AG50" si="21">+K35-J35</f>
        <v>96.115179358813009</v>
      </c>
      <c r="AF35" s="37">
        <f t="shared" si="21"/>
        <v>74.810931589795985</v>
      </c>
      <c r="AG35" s="37">
        <f t="shared" si="21"/>
        <v>87.085698478224998</v>
      </c>
      <c r="AH35" s="10"/>
      <c r="AI35" s="37">
        <f t="shared" ref="AI35:AI50" si="22">+O35</f>
        <v>83.331509917899993</v>
      </c>
      <c r="AJ35" s="37">
        <f t="shared" ref="AJ35:AL50" si="23">+P35-O35</f>
        <v>81.706871208099997</v>
      </c>
      <c r="AK35" s="37">
        <f t="shared" si="23"/>
        <v>70.033255328274009</v>
      </c>
      <c r="AL35" s="37">
        <f t="shared" si="23"/>
        <v>99.484757293065996</v>
      </c>
      <c r="AM35" s="10"/>
      <c r="AN35" s="37">
        <f t="shared" ref="AN35:AN50" si="24">+T35</f>
        <v>75.038396383099993</v>
      </c>
      <c r="AO35" s="37">
        <f t="shared" ref="AO35:AQ50" si="25">+U35-T35</f>
        <v>81.260611713099976</v>
      </c>
      <c r="AP35" s="37">
        <f t="shared" si="25"/>
        <v>78.448148553300058</v>
      </c>
      <c r="AQ35" s="37">
        <f t="shared" si="25"/>
        <v>86.241660782899999</v>
      </c>
      <c r="AR35" s="10"/>
    </row>
    <row r="36" spans="2:44" s="3" customFormat="1">
      <c r="B36" s="5" t="s">
        <v>303</v>
      </c>
      <c r="C36" s="8" t="e">
        <f>#REF!/1000</f>
        <v>#REF!</v>
      </c>
      <c r="D36" s="10"/>
      <c r="E36" s="62">
        <v>542.27651580966597</v>
      </c>
      <c r="F36" s="62">
        <v>1067.09140411475</v>
      </c>
      <c r="G36" s="62">
        <v>1596.70136478475</v>
      </c>
      <c r="H36" s="62" t="e">
        <f>IF(AND($F$7=VALUE($C$4),H$8=$C$8),$C36,0)</f>
        <v>#REF!</v>
      </c>
      <c r="I36" s="10"/>
      <c r="J36" s="62">
        <v>459.92705675679997</v>
      </c>
      <c r="K36" s="62">
        <v>913.98541108610004</v>
      </c>
      <c r="L36" s="62">
        <v>1370.9421876647998</v>
      </c>
      <c r="M36" s="62">
        <v>1917.4196774914399</v>
      </c>
      <c r="N36" s="10"/>
      <c r="O36" s="89">
        <f>469.2146986443-4383322.75/1000000</f>
        <v>464.83137589429998</v>
      </c>
      <c r="P36" s="89">
        <f>959.5287186556-8709885.84/1000000</f>
        <v>950.81883281559999</v>
      </c>
      <c r="Q36" s="89">
        <f>1430.3896161901-12539083.79/1000000</f>
        <v>1417.8505324001001</v>
      </c>
      <c r="R36" s="89">
        <f>1915.1230489081-17642067.34/1000000</f>
        <v>1897.4809815680999</v>
      </c>
      <c r="S36" s="10"/>
      <c r="T36" s="89">
        <f>491.8168330731-6363502/1000000</f>
        <v>485.4533310731</v>
      </c>
      <c r="U36" s="89">
        <f>995.1910373828-8275455.91/1000000</f>
        <v>986.9155814728</v>
      </c>
      <c r="V36" s="89">
        <f>1466.8527038063-13533948.28/1000000</f>
        <v>1453.3187555263</v>
      </c>
      <c r="W36" s="89">
        <f>1952.6464668066-18169133.62/1000000</f>
        <v>1934.4773331866002</v>
      </c>
      <c r="X36" s="10"/>
      <c r="Y36" s="8">
        <f t="shared" si="18"/>
        <v>542.27651580966597</v>
      </c>
      <c r="Z36" s="8">
        <f t="shared" si="19"/>
        <v>524.81488830508408</v>
      </c>
      <c r="AA36" s="8">
        <f t="shared" si="19"/>
        <v>529.60996066999996</v>
      </c>
      <c r="AB36" s="8" t="e">
        <f t="shared" si="19"/>
        <v>#REF!</v>
      </c>
      <c r="AC36" s="10"/>
      <c r="AD36" s="8">
        <f t="shared" si="20"/>
        <v>459.92705675679997</v>
      </c>
      <c r="AE36" s="8">
        <f t="shared" si="21"/>
        <v>454.05835432930007</v>
      </c>
      <c r="AF36" s="8">
        <f t="shared" si="21"/>
        <v>456.95677657869976</v>
      </c>
      <c r="AG36" s="8">
        <f t="shared" si="21"/>
        <v>546.47748982664007</v>
      </c>
      <c r="AH36" s="10"/>
      <c r="AI36" s="8">
        <f t="shared" si="22"/>
        <v>464.83137589429998</v>
      </c>
      <c r="AJ36" s="8">
        <f t="shared" si="23"/>
        <v>485.98745692130001</v>
      </c>
      <c r="AK36" s="8">
        <f t="shared" si="23"/>
        <v>467.03169958450007</v>
      </c>
      <c r="AL36" s="8">
        <f t="shared" si="23"/>
        <v>479.63044916799981</v>
      </c>
      <c r="AM36" s="10"/>
      <c r="AN36" s="8">
        <f t="shared" si="24"/>
        <v>485.4533310731</v>
      </c>
      <c r="AO36" s="8">
        <f t="shared" si="25"/>
        <v>501.4622503997</v>
      </c>
      <c r="AP36" s="8">
        <f t="shared" si="25"/>
        <v>466.40317405350004</v>
      </c>
      <c r="AQ36" s="8">
        <f t="shared" si="25"/>
        <v>481.15857766030012</v>
      </c>
      <c r="AR36" s="10"/>
    </row>
    <row r="37" spans="2:44">
      <c r="B37" s="28" t="s">
        <v>322</v>
      </c>
      <c r="C37" s="29" t="e">
        <f>+C35+C36</f>
        <v>#REF!</v>
      </c>
      <c r="D37" s="12"/>
      <c r="E37" s="29">
        <v>630.96060069026601</v>
      </c>
      <c r="F37" s="29">
        <v>1246.2392393848882</v>
      </c>
      <c r="G37" s="29">
        <v>1858.7424925890441</v>
      </c>
      <c r="H37" s="29" t="e">
        <f>+H35+H36</f>
        <v>#REF!</v>
      </c>
      <c r="I37" s="12"/>
      <c r="J37" s="29">
        <f>+J35+J36</f>
        <v>528.23865666279994</v>
      </c>
      <c r="K37" s="29">
        <f>+K35+K36</f>
        <v>1078.4121903509131</v>
      </c>
      <c r="L37" s="29">
        <f>+L35+L36</f>
        <v>1610.1798985194089</v>
      </c>
      <c r="M37" s="29">
        <v>2243.7430868242736</v>
      </c>
      <c r="N37" s="12"/>
      <c r="O37" s="29">
        <f>+O35+O36</f>
        <v>548.16288581219999</v>
      </c>
      <c r="P37" s="29">
        <f>+P35+P36</f>
        <v>1115.8572139416001</v>
      </c>
      <c r="Q37" s="29">
        <f>+Q35+Q36</f>
        <v>1652.9221688543741</v>
      </c>
      <c r="R37" s="29">
        <f>+R35+R36</f>
        <v>2232.0373753154399</v>
      </c>
      <c r="S37" s="12"/>
      <c r="T37" s="29">
        <f>+T35+T36</f>
        <v>560.49172745620001</v>
      </c>
      <c r="U37" s="29">
        <f>+U35+U36</f>
        <v>1143.2145895690001</v>
      </c>
      <c r="V37" s="29">
        <f>+V35+V36</f>
        <v>1688.0659121758001</v>
      </c>
      <c r="W37" s="29">
        <f>+W35+W36</f>
        <v>2255.466150619</v>
      </c>
      <c r="X37" s="12"/>
      <c r="Y37" s="29">
        <f t="shared" si="18"/>
        <v>630.96060069026601</v>
      </c>
      <c r="Z37" s="29">
        <f t="shared" si="19"/>
        <v>615.27863869462215</v>
      </c>
      <c r="AA37" s="29">
        <f t="shared" si="19"/>
        <v>612.50325320415595</v>
      </c>
      <c r="AB37" s="29" t="e">
        <f t="shared" si="19"/>
        <v>#REF!</v>
      </c>
      <c r="AC37" s="12"/>
      <c r="AD37" s="29">
        <f t="shared" si="20"/>
        <v>528.23865666279994</v>
      </c>
      <c r="AE37" s="29">
        <f t="shared" si="21"/>
        <v>550.17353368811314</v>
      </c>
      <c r="AF37" s="29">
        <f t="shared" si="21"/>
        <v>531.7677081684958</v>
      </c>
      <c r="AG37" s="29">
        <f t="shared" si="21"/>
        <v>633.56318830486475</v>
      </c>
      <c r="AH37" s="12"/>
      <c r="AI37" s="29">
        <f t="shared" si="22"/>
        <v>548.16288581219999</v>
      </c>
      <c r="AJ37" s="29">
        <f t="shared" si="23"/>
        <v>567.69432812940011</v>
      </c>
      <c r="AK37" s="29">
        <f t="shared" si="23"/>
        <v>537.06495491277406</v>
      </c>
      <c r="AL37" s="29">
        <f t="shared" si="23"/>
        <v>579.11520646106578</v>
      </c>
      <c r="AM37" s="12"/>
      <c r="AN37" s="29">
        <f t="shared" si="24"/>
        <v>560.49172745620001</v>
      </c>
      <c r="AO37" s="29">
        <f t="shared" si="25"/>
        <v>582.72286211280004</v>
      </c>
      <c r="AP37" s="29">
        <f t="shared" si="25"/>
        <v>544.85132260680007</v>
      </c>
      <c r="AQ37" s="29">
        <f t="shared" si="25"/>
        <v>567.4002384431999</v>
      </c>
      <c r="AR37" s="12"/>
    </row>
    <row r="38" spans="2:44" s="3" customFormat="1">
      <c r="B38" s="28" t="s">
        <v>379</v>
      </c>
      <c r="C38" s="29" t="e">
        <f>+#REF!/1000</f>
        <v>#REF!</v>
      </c>
      <c r="D38" s="12"/>
      <c r="E38" s="63">
        <v>-177.494285599607</v>
      </c>
      <c r="F38" s="63">
        <v>-302.92971586252298</v>
      </c>
      <c r="G38" s="63">
        <v>-395.38403295318801</v>
      </c>
      <c r="H38" s="63" t="e">
        <f>IF(AND($F$7=VALUE($C$4),H$8=$C$8),$C38,0)</f>
        <v>#REF!</v>
      </c>
      <c r="I38" s="12"/>
      <c r="J38" s="63">
        <v>-158.678280734102</v>
      </c>
      <c r="K38" s="63">
        <v>-353.40448732097497</v>
      </c>
      <c r="L38" s="63">
        <v>-517.61797685564704</v>
      </c>
      <c r="M38" s="63">
        <v>-758.67576130057</v>
      </c>
      <c r="N38" s="12"/>
      <c r="O38" s="90">
        <f>-250.886613052488--49511638.58/1000000</f>
        <v>-201.37497447248802</v>
      </c>
      <c r="P38" s="90">
        <f>-411.870901741304--86223979.17/1000000</f>
        <v>-325.646922571304</v>
      </c>
      <c r="Q38" s="90">
        <f>-544.851115068083--125395954.04/1000000</f>
        <v>-419.45516102808301</v>
      </c>
      <c r="R38" s="90">
        <f>-806.442145839445--205978849.73/1000000</f>
        <v>-600.46329610944497</v>
      </c>
      <c r="S38" s="12"/>
      <c r="T38" s="90">
        <f>-173.146903295472--24283498.87/1000000</f>
        <v>-148.86340442547197</v>
      </c>
      <c r="U38" s="90">
        <f>-407.852090006436--56538471.51/1000000</f>
        <v>-351.31361849643599</v>
      </c>
      <c r="V38" s="90">
        <f>-511.699910522511--75829669.14/1000000</f>
        <v>-435.87024138251098</v>
      </c>
      <c r="W38" s="90">
        <f>-688.792493819819--137707863.04/1000000</f>
        <v>-551.08463077981901</v>
      </c>
      <c r="X38" s="12"/>
      <c r="Y38" s="30">
        <f t="shared" si="18"/>
        <v>-177.494285599607</v>
      </c>
      <c r="Z38" s="30">
        <f t="shared" si="19"/>
        <v>-125.43543026291599</v>
      </c>
      <c r="AA38" s="30">
        <f t="shared" si="19"/>
        <v>-92.454317090665029</v>
      </c>
      <c r="AB38" s="30" t="e">
        <f t="shared" si="19"/>
        <v>#REF!</v>
      </c>
      <c r="AC38" s="12"/>
      <c r="AD38" s="30">
        <f t="shared" si="20"/>
        <v>-158.678280734102</v>
      </c>
      <c r="AE38" s="30">
        <f t="shared" si="21"/>
        <v>-194.72620658687296</v>
      </c>
      <c r="AF38" s="30">
        <f t="shared" si="21"/>
        <v>-164.21348953467208</v>
      </c>
      <c r="AG38" s="30">
        <f t="shared" si="21"/>
        <v>-241.05778444492296</v>
      </c>
      <c r="AH38" s="12"/>
      <c r="AI38" s="30">
        <f t="shared" si="22"/>
        <v>-201.37497447248802</v>
      </c>
      <c r="AJ38" s="30">
        <f t="shared" si="23"/>
        <v>-124.27194809881598</v>
      </c>
      <c r="AK38" s="30">
        <f t="shared" si="23"/>
        <v>-93.808238456779009</v>
      </c>
      <c r="AL38" s="30">
        <f t="shared" si="23"/>
        <v>-181.00813508136196</v>
      </c>
      <c r="AM38" s="12"/>
      <c r="AN38" s="30">
        <f t="shared" si="24"/>
        <v>-148.86340442547197</v>
      </c>
      <c r="AO38" s="30">
        <f t="shared" si="25"/>
        <v>-202.45021407096402</v>
      </c>
      <c r="AP38" s="30">
        <f t="shared" si="25"/>
        <v>-84.55662288607499</v>
      </c>
      <c r="AQ38" s="30">
        <f t="shared" si="25"/>
        <v>-115.21438939730803</v>
      </c>
      <c r="AR38" s="12"/>
    </row>
    <row r="39" spans="2:44" s="3" customFormat="1">
      <c r="B39" s="36" t="s">
        <v>375</v>
      </c>
      <c r="C39" s="32" t="e">
        <f>SUM(#REF!)/1000</f>
        <v>#REF!</v>
      </c>
      <c r="D39" s="10"/>
      <c r="E39" s="60">
        <v>0.23887296869999999</v>
      </c>
      <c r="F39" s="60">
        <v>8.7478020094000009</v>
      </c>
      <c r="G39" s="60">
        <v>-0.98541768000000052</v>
      </c>
      <c r="H39" s="60" t="e">
        <f>IF(AND($F$7=VALUE($C$4),H$8=$C$8),$C39,0)</f>
        <v>#REF!</v>
      </c>
      <c r="I39" s="10"/>
      <c r="J39" s="60">
        <v>5.1752900228000005</v>
      </c>
      <c r="K39" s="60">
        <v>6.3520383530000002</v>
      </c>
      <c r="L39" s="60">
        <v>7.1345292000000002</v>
      </c>
      <c r="M39" s="60">
        <v>8.0751634350000003</v>
      </c>
      <c r="N39" s="10"/>
      <c r="O39" s="60">
        <v>0.21355517439999999</v>
      </c>
      <c r="P39" s="60">
        <v>-14.806654032400202</v>
      </c>
      <c r="Q39" s="60">
        <v>-4.1695008052579983</v>
      </c>
      <c r="R39" s="60">
        <v>-4.7019986502280009</v>
      </c>
      <c r="S39" s="10"/>
      <c r="T39" s="60">
        <v>12.1913637626</v>
      </c>
      <c r="U39" s="60">
        <v>12.353489401400001</v>
      </c>
      <c r="V39" s="60">
        <v>42.348957621799983</v>
      </c>
      <c r="W39" s="60">
        <v>48.354364371399996</v>
      </c>
      <c r="X39" s="10"/>
      <c r="Y39" s="32">
        <f t="shared" si="18"/>
        <v>0.23887296869999999</v>
      </c>
      <c r="Z39" s="32">
        <f t="shared" si="19"/>
        <v>8.5089290407</v>
      </c>
      <c r="AA39" s="32">
        <f t="shared" si="19"/>
        <v>-9.733219689400002</v>
      </c>
      <c r="AB39" s="32" t="e">
        <f t="shared" si="19"/>
        <v>#REF!</v>
      </c>
      <c r="AC39" s="10"/>
      <c r="AD39" s="32">
        <f t="shared" si="20"/>
        <v>5.1752900228000005</v>
      </c>
      <c r="AE39" s="32">
        <f t="shared" si="21"/>
        <v>1.1767483301999997</v>
      </c>
      <c r="AF39" s="32">
        <f t="shared" si="21"/>
        <v>0.78249084700000004</v>
      </c>
      <c r="AG39" s="32">
        <f t="shared" si="21"/>
        <v>0.9406342350000001</v>
      </c>
      <c r="AH39" s="10"/>
      <c r="AI39" s="32">
        <f t="shared" si="22"/>
        <v>0.21355517439999999</v>
      </c>
      <c r="AJ39" s="32">
        <f t="shared" si="23"/>
        <v>-15.020209206800201</v>
      </c>
      <c r="AK39" s="32">
        <f t="shared" si="23"/>
        <v>10.637153227142203</v>
      </c>
      <c r="AL39" s="32">
        <f t="shared" si="23"/>
        <v>-0.53249784497000263</v>
      </c>
      <c r="AM39" s="10"/>
      <c r="AN39" s="32">
        <f t="shared" si="24"/>
        <v>12.1913637626</v>
      </c>
      <c r="AO39" s="32">
        <f t="shared" si="25"/>
        <v>0.16212563880000097</v>
      </c>
      <c r="AP39" s="32">
        <f t="shared" si="25"/>
        <v>29.995468220399982</v>
      </c>
      <c r="AQ39" s="32">
        <f t="shared" si="25"/>
        <v>6.005406749600013</v>
      </c>
      <c r="AR39" s="10"/>
    </row>
    <row r="40" spans="2:44" s="3" customFormat="1">
      <c r="B40" s="36" t="s">
        <v>380</v>
      </c>
      <c r="C40" s="37" t="e">
        <f>+#REF!/1000</f>
        <v>#REF!</v>
      </c>
      <c r="D40" s="10"/>
      <c r="E40" s="59">
        <v>-1.0973810000000002</v>
      </c>
      <c r="F40" s="59">
        <v>-126.83031158</v>
      </c>
      <c r="G40" s="59">
        <v>-136.94519179</v>
      </c>
      <c r="H40" s="59" t="e">
        <f>IF(AND($F$7=VALUE($C$4),H$8=$C$8),$C40,0)</f>
        <v>#REF!</v>
      </c>
      <c r="I40" s="10"/>
      <c r="J40" s="59">
        <v>-33.246118000000003</v>
      </c>
      <c r="K40" s="59">
        <v>-50.733884289999999</v>
      </c>
      <c r="L40" s="59">
        <v>-71.452025890000002</v>
      </c>
      <c r="M40" s="59">
        <v>-102.97632340999999</v>
      </c>
      <c r="N40" s="10"/>
      <c r="O40" s="59">
        <v>-1.5089999999999999</v>
      </c>
      <c r="P40" s="59">
        <v>-9.2537448599999994</v>
      </c>
      <c r="Q40" s="59">
        <v>-24.603939560000001</v>
      </c>
      <c r="R40" s="59">
        <v>-25.742667289999996</v>
      </c>
      <c r="S40" s="10"/>
      <c r="T40" s="59">
        <v>-9.2837081794000014</v>
      </c>
      <c r="U40" s="59">
        <v>-10.8915794452</v>
      </c>
      <c r="V40" s="59">
        <v>-14.32570664</v>
      </c>
      <c r="W40" s="59">
        <v>-17.262730269999999</v>
      </c>
      <c r="X40" s="10"/>
      <c r="Y40" s="37">
        <f t="shared" si="18"/>
        <v>-1.0973810000000002</v>
      </c>
      <c r="Z40" s="37">
        <f t="shared" si="19"/>
        <v>-125.73293058</v>
      </c>
      <c r="AA40" s="37">
        <f t="shared" si="19"/>
        <v>-10.114880209999995</v>
      </c>
      <c r="AB40" s="37" t="e">
        <f t="shared" si="19"/>
        <v>#REF!</v>
      </c>
      <c r="AC40" s="10"/>
      <c r="AD40" s="37">
        <f t="shared" si="20"/>
        <v>-33.246118000000003</v>
      </c>
      <c r="AE40" s="37">
        <f t="shared" si="21"/>
        <v>-17.487766289999996</v>
      </c>
      <c r="AF40" s="37">
        <f t="shared" si="21"/>
        <v>-20.718141600000003</v>
      </c>
      <c r="AG40" s="37">
        <f t="shared" si="21"/>
        <v>-31.52429751999999</v>
      </c>
      <c r="AH40" s="10"/>
      <c r="AI40" s="37">
        <f t="shared" si="22"/>
        <v>-1.5089999999999999</v>
      </c>
      <c r="AJ40" s="37">
        <f t="shared" si="23"/>
        <v>-7.7447448599999991</v>
      </c>
      <c r="AK40" s="37">
        <f t="shared" si="23"/>
        <v>-15.350194700000001</v>
      </c>
      <c r="AL40" s="37">
        <f t="shared" si="23"/>
        <v>-1.1387277299999958</v>
      </c>
      <c r="AM40" s="10"/>
      <c r="AN40" s="37">
        <f t="shared" si="24"/>
        <v>-9.2837081794000014</v>
      </c>
      <c r="AO40" s="37">
        <f t="shared" si="25"/>
        <v>-1.6078712657999983</v>
      </c>
      <c r="AP40" s="37">
        <f t="shared" si="25"/>
        <v>-3.4341271948000003</v>
      </c>
      <c r="AQ40" s="37">
        <f t="shared" si="25"/>
        <v>-2.9370236299999988</v>
      </c>
      <c r="AR40" s="10"/>
    </row>
    <row r="41" spans="2:44" s="3" customFormat="1">
      <c r="B41" s="36" t="s">
        <v>381</v>
      </c>
      <c r="C41" s="37" t="e">
        <f>+#REF!/1000</f>
        <v>#REF!</v>
      </c>
      <c r="D41" s="10"/>
      <c r="E41" s="59">
        <v>0</v>
      </c>
      <c r="F41" s="59">
        <v>0</v>
      </c>
      <c r="G41" s="59">
        <v>0</v>
      </c>
      <c r="H41" s="59" t="e">
        <f>IF(AND($F$7=VALUE($C$4),H$8=$C$8),$C41,0)</f>
        <v>#REF!</v>
      </c>
      <c r="I41" s="10"/>
      <c r="J41" s="59">
        <v>0</v>
      </c>
      <c r="K41" s="59">
        <v>0</v>
      </c>
      <c r="L41" s="59">
        <v>0</v>
      </c>
      <c r="M41" s="59">
        <v>0</v>
      </c>
      <c r="N41" s="10"/>
      <c r="O41" s="59">
        <v>0</v>
      </c>
      <c r="P41" s="59">
        <v>0</v>
      </c>
      <c r="Q41" s="59">
        <v>0</v>
      </c>
      <c r="R41" s="59">
        <v>0</v>
      </c>
      <c r="S41" s="10"/>
      <c r="T41" s="59">
        <v>0</v>
      </c>
      <c r="U41" s="59">
        <v>0</v>
      </c>
      <c r="V41" s="59">
        <v>0</v>
      </c>
      <c r="W41" s="59">
        <v>0</v>
      </c>
      <c r="X41" s="10"/>
      <c r="Y41" s="37">
        <f t="shared" si="18"/>
        <v>0</v>
      </c>
      <c r="Z41" s="37">
        <f t="shared" si="19"/>
        <v>0</v>
      </c>
      <c r="AA41" s="37">
        <f t="shared" si="19"/>
        <v>0</v>
      </c>
      <c r="AB41" s="37" t="e">
        <f t="shared" si="19"/>
        <v>#REF!</v>
      </c>
      <c r="AC41" s="10"/>
      <c r="AD41" s="37">
        <f t="shared" si="20"/>
        <v>0</v>
      </c>
      <c r="AE41" s="37">
        <f t="shared" si="21"/>
        <v>0</v>
      </c>
      <c r="AF41" s="37">
        <f t="shared" si="21"/>
        <v>0</v>
      </c>
      <c r="AG41" s="37">
        <f t="shared" si="21"/>
        <v>0</v>
      </c>
      <c r="AH41" s="10"/>
      <c r="AI41" s="37">
        <f t="shared" si="22"/>
        <v>0</v>
      </c>
      <c r="AJ41" s="37">
        <f t="shared" si="23"/>
        <v>0</v>
      </c>
      <c r="AK41" s="37">
        <f t="shared" si="23"/>
        <v>0</v>
      </c>
      <c r="AL41" s="37">
        <f t="shared" si="23"/>
        <v>0</v>
      </c>
      <c r="AM41" s="10"/>
      <c r="AN41" s="37">
        <f t="shared" si="24"/>
        <v>0</v>
      </c>
      <c r="AO41" s="37">
        <f t="shared" si="25"/>
        <v>0</v>
      </c>
      <c r="AP41" s="37">
        <f t="shared" si="25"/>
        <v>0</v>
      </c>
      <c r="AQ41" s="37">
        <f t="shared" si="25"/>
        <v>0</v>
      </c>
      <c r="AR41" s="10"/>
    </row>
    <row r="42" spans="2:44" s="3" customFormat="1">
      <c r="B42" s="36" t="s">
        <v>412</v>
      </c>
      <c r="C42" s="37" t="e">
        <f>+#REF!/1000</f>
        <v>#REF!</v>
      </c>
      <c r="D42" s="10"/>
      <c r="E42" s="41"/>
      <c r="F42" s="41"/>
      <c r="G42" s="41"/>
      <c r="H42" s="41"/>
      <c r="I42" s="10"/>
      <c r="J42" s="41"/>
      <c r="K42" s="41"/>
      <c r="L42" s="41"/>
      <c r="M42" s="41"/>
      <c r="N42" s="10"/>
      <c r="O42" s="59">
        <v>0</v>
      </c>
      <c r="P42" s="59">
        <v>0</v>
      </c>
      <c r="Q42" s="59">
        <v>0</v>
      </c>
      <c r="R42" s="59">
        <v>-0.15414289000000003</v>
      </c>
      <c r="S42" s="10"/>
      <c r="T42" s="59">
        <v>0</v>
      </c>
      <c r="U42" s="59">
        <v>0</v>
      </c>
      <c r="V42" s="59">
        <v>0</v>
      </c>
      <c r="W42" s="59">
        <v>1.10881E-2</v>
      </c>
      <c r="X42" s="10"/>
      <c r="Y42" s="37">
        <f t="shared" si="18"/>
        <v>0</v>
      </c>
      <c r="Z42" s="37">
        <f t="shared" si="19"/>
        <v>0</v>
      </c>
      <c r="AA42" s="37">
        <f t="shared" si="19"/>
        <v>0</v>
      </c>
      <c r="AB42" s="37">
        <f t="shared" si="19"/>
        <v>0</v>
      </c>
      <c r="AC42" s="10"/>
      <c r="AD42" s="37">
        <f t="shared" si="20"/>
        <v>0</v>
      </c>
      <c r="AE42" s="37">
        <f t="shared" si="21"/>
        <v>0</v>
      </c>
      <c r="AF42" s="37">
        <f t="shared" si="21"/>
        <v>0</v>
      </c>
      <c r="AG42" s="37">
        <f t="shared" si="21"/>
        <v>0</v>
      </c>
      <c r="AH42" s="10"/>
      <c r="AI42" s="37">
        <f t="shared" si="22"/>
        <v>0</v>
      </c>
      <c r="AJ42" s="37">
        <f t="shared" si="23"/>
        <v>0</v>
      </c>
      <c r="AK42" s="37">
        <f t="shared" si="23"/>
        <v>0</v>
      </c>
      <c r="AL42" s="37">
        <f t="shared" si="23"/>
        <v>-0.15414289000000003</v>
      </c>
      <c r="AM42" s="10"/>
      <c r="AN42" s="37">
        <f t="shared" si="24"/>
        <v>0</v>
      </c>
      <c r="AO42" s="37">
        <f t="shared" si="25"/>
        <v>0</v>
      </c>
      <c r="AP42" s="37">
        <f t="shared" si="25"/>
        <v>0</v>
      </c>
      <c r="AQ42" s="37">
        <f t="shared" si="25"/>
        <v>1.10881E-2</v>
      </c>
      <c r="AR42" s="10"/>
    </row>
    <row r="43" spans="2:44" s="3" customFormat="1">
      <c r="B43" s="25" t="s">
        <v>382</v>
      </c>
      <c r="C43" s="26" t="e">
        <f>+#REF!/1000</f>
        <v>#REF!</v>
      </c>
      <c r="D43" s="10"/>
      <c r="E43" s="26">
        <v>-0.8585080313000002</v>
      </c>
      <c r="F43" s="26">
        <v>-118.0825095706</v>
      </c>
      <c r="G43" s="26">
        <v>-137.93060947000001</v>
      </c>
      <c r="H43" s="26" t="e">
        <f>+H39+H40+H41+H42</f>
        <v>#REF!</v>
      </c>
      <c r="I43" s="10"/>
      <c r="J43" s="26">
        <f>+J39+J40+J41+J42</f>
        <v>-28.070827977200004</v>
      </c>
      <c r="K43" s="26">
        <f>+K39+K40+K41+K42</f>
        <v>-44.381845937000001</v>
      </c>
      <c r="L43" s="26">
        <f>+L39+L40+L41+L42</f>
        <v>-64.317496689999999</v>
      </c>
      <c r="M43" s="26">
        <v>-94.901159974999985</v>
      </c>
      <c r="N43" s="10"/>
      <c r="O43" s="26">
        <f>+O39+O40+O41+O42</f>
        <v>-1.2954448256</v>
      </c>
      <c r="P43" s="26">
        <f>+P39+P40+P41+P42</f>
        <v>-24.060398892400201</v>
      </c>
      <c r="Q43" s="26">
        <f>+Q39+Q40+Q41+Q42</f>
        <v>-28.773440365257997</v>
      </c>
      <c r="R43" s="26">
        <f>+R39+R40+R41+R42</f>
        <v>-30.598808830227998</v>
      </c>
      <c r="S43" s="10"/>
      <c r="T43" s="26">
        <v>2.9076555832000004</v>
      </c>
      <c r="U43" s="26">
        <v>1.4619099562</v>
      </c>
      <c r="V43" s="26">
        <v>28.0232509818</v>
      </c>
      <c r="W43" s="26">
        <v>31.102722201399999</v>
      </c>
      <c r="X43" s="10"/>
      <c r="Y43" s="26">
        <f t="shared" si="18"/>
        <v>-0.8585080313000002</v>
      </c>
      <c r="Z43" s="26">
        <f t="shared" si="19"/>
        <v>-117.22400153929999</v>
      </c>
      <c r="AA43" s="26">
        <f t="shared" si="19"/>
        <v>-19.848099899400012</v>
      </c>
      <c r="AB43" s="26" t="e">
        <f t="shared" si="19"/>
        <v>#REF!</v>
      </c>
      <c r="AC43" s="10"/>
      <c r="AD43" s="26">
        <f t="shared" si="20"/>
        <v>-28.070827977200004</v>
      </c>
      <c r="AE43" s="26">
        <f t="shared" si="21"/>
        <v>-16.311017959799997</v>
      </c>
      <c r="AF43" s="26">
        <f t="shared" si="21"/>
        <v>-19.935650752999997</v>
      </c>
      <c r="AG43" s="26">
        <f t="shared" si="21"/>
        <v>-30.583663284999986</v>
      </c>
      <c r="AH43" s="10"/>
      <c r="AI43" s="26">
        <f t="shared" si="22"/>
        <v>-1.2954448256</v>
      </c>
      <c r="AJ43" s="26">
        <f t="shared" si="23"/>
        <v>-22.7649540668002</v>
      </c>
      <c r="AK43" s="26">
        <f t="shared" si="23"/>
        <v>-4.7130414728577961</v>
      </c>
      <c r="AL43" s="26">
        <f t="shared" si="23"/>
        <v>-1.8253684649700013</v>
      </c>
      <c r="AM43" s="10"/>
      <c r="AN43" s="26">
        <f t="shared" si="24"/>
        <v>2.9076555832000004</v>
      </c>
      <c r="AO43" s="26">
        <f t="shared" si="25"/>
        <v>-1.4457456270000004</v>
      </c>
      <c r="AP43" s="26">
        <f t="shared" si="25"/>
        <v>26.561341025600001</v>
      </c>
      <c r="AQ43" s="26">
        <f t="shared" si="25"/>
        <v>3.0794712195999985</v>
      </c>
      <c r="AR43" s="10"/>
    </row>
    <row r="44" spans="2:44" s="3" customFormat="1">
      <c r="B44" s="28" t="s">
        <v>408</v>
      </c>
      <c r="C44" s="29" t="e">
        <f>+C38+C43</f>
        <v>#REF!</v>
      </c>
      <c r="D44" s="12"/>
      <c r="E44" s="29">
        <v>-178.352793630907</v>
      </c>
      <c r="F44" s="29">
        <v>-421.01222543312298</v>
      </c>
      <c r="G44" s="29">
        <v>-533.31464242318805</v>
      </c>
      <c r="H44" s="29" t="e">
        <f>+H38+H43</f>
        <v>#REF!</v>
      </c>
      <c r="I44" s="12"/>
      <c r="J44" s="29">
        <f>+J38+J43</f>
        <v>-186.749108711302</v>
      </c>
      <c r="K44" s="29">
        <f>+K38+K43</f>
        <v>-397.78633325797495</v>
      </c>
      <c r="L44" s="29">
        <f>+L38+L43</f>
        <v>-581.93547354564703</v>
      </c>
      <c r="M44" s="29">
        <v>-853.57692127556993</v>
      </c>
      <c r="N44" s="12"/>
      <c r="O44" s="29">
        <f>+O38+O43</f>
        <v>-202.67041929808801</v>
      </c>
      <c r="P44" s="29">
        <f>+P38+P43</f>
        <v>-349.7073214637042</v>
      </c>
      <c r="Q44" s="29">
        <f>+Q38+Q43</f>
        <v>-448.22860139334102</v>
      </c>
      <c r="R44" s="29">
        <f>+R38+R43</f>
        <v>-631.06210493967296</v>
      </c>
      <c r="S44" s="12"/>
      <c r="T44" s="29">
        <f>+T38+T43</f>
        <v>-145.95574884227196</v>
      </c>
      <c r="U44" s="29">
        <f>+U38+U43</f>
        <v>-349.85170854023602</v>
      </c>
      <c r="V44" s="29">
        <f>+V38+V43</f>
        <v>-407.84699040071098</v>
      </c>
      <c r="W44" s="29">
        <f>+W38+W43</f>
        <v>-519.98190857841905</v>
      </c>
      <c r="X44" s="12"/>
      <c r="Y44" s="29">
        <f t="shared" si="18"/>
        <v>-178.352793630907</v>
      </c>
      <c r="Z44" s="29">
        <f t="shared" si="19"/>
        <v>-242.65943180221598</v>
      </c>
      <c r="AA44" s="29">
        <f t="shared" si="19"/>
        <v>-112.30241699006507</v>
      </c>
      <c r="AB44" s="29" t="e">
        <f t="shared" si="19"/>
        <v>#REF!</v>
      </c>
      <c r="AC44" s="12"/>
      <c r="AD44" s="29">
        <f t="shared" si="20"/>
        <v>-186.749108711302</v>
      </c>
      <c r="AE44" s="29">
        <f t="shared" si="21"/>
        <v>-211.03722454667295</v>
      </c>
      <c r="AF44" s="29">
        <f t="shared" si="21"/>
        <v>-184.14914028767208</v>
      </c>
      <c r="AG44" s="29">
        <f>+M44-L44</f>
        <v>-271.6414477299229</v>
      </c>
      <c r="AH44" s="12"/>
      <c r="AI44" s="29">
        <f t="shared" si="22"/>
        <v>-202.67041929808801</v>
      </c>
      <c r="AJ44" s="29">
        <f t="shared" si="23"/>
        <v>-147.0369021656162</v>
      </c>
      <c r="AK44" s="29">
        <f t="shared" si="23"/>
        <v>-98.521279929636819</v>
      </c>
      <c r="AL44" s="29">
        <f t="shared" si="23"/>
        <v>-182.83350354633194</v>
      </c>
      <c r="AM44" s="12"/>
      <c r="AN44" s="29">
        <f t="shared" si="24"/>
        <v>-145.95574884227196</v>
      </c>
      <c r="AO44" s="29">
        <f t="shared" si="25"/>
        <v>-203.89595969796406</v>
      </c>
      <c r="AP44" s="29">
        <f t="shared" si="25"/>
        <v>-57.995281860474961</v>
      </c>
      <c r="AQ44" s="29">
        <f t="shared" si="25"/>
        <v>-112.13491817770807</v>
      </c>
      <c r="AR44" s="12"/>
    </row>
    <row r="45" spans="2:44" s="3" customFormat="1">
      <c r="B45" s="39" t="s">
        <v>417</v>
      </c>
      <c r="C45" s="32" t="e">
        <f>+#REF!/1000</f>
        <v>#REF!</v>
      </c>
      <c r="D45" s="10"/>
      <c r="E45" s="60">
        <v>-98.904334986650198</v>
      </c>
      <c r="F45" s="60">
        <v>-198.82714287305399</v>
      </c>
      <c r="G45" s="60">
        <v>-297.58979004145198</v>
      </c>
      <c r="H45" s="60" t="e">
        <f>IF(AND($F$7=VALUE($C$4),H$8=$C$8),$C45,0)</f>
        <v>#REF!</v>
      </c>
      <c r="I45" s="10"/>
      <c r="J45" s="60">
        <v>-96.694317944358005</v>
      </c>
      <c r="K45" s="60">
        <v>-195.251246056177</v>
      </c>
      <c r="L45" s="60">
        <v>-292.10159050403502</v>
      </c>
      <c r="M45" s="60">
        <v>-406.22275484214703</v>
      </c>
      <c r="N45" s="10"/>
      <c r="O45" s="60">
        <v>-98.766833220625003</v>
      </c>
      <c r="P45" s="60">
        <v>-195.61281891727998</v>
      </c>
      <c r="Q45" s="60">
        <v>-289.47804069670497</v>
      </c>
      <c r="R45" s="60">
        <v>-402.39730754068398</v>
      </c>
      <c r="S45" s="10"/>
      <c r="T45" s="60">
        <v>-91.290132324775996</v>
      </c>
      <c r="U45" s="60">
        <v>-182.56919780933998</v>
      </c>
      <c r="V45" s="60">
        <v>-279.08322199228104</v>
      </c>
      <c r="W45" s="60">
        <v>-388.69488683676201</v>
      </c>
      <c r="X45" s="10"/>
      <c r="Y45" s="32">
        <f t="shared" si="18"/>
        <v>-98.904334986650198</v>
      </c>
      <c r="Z45" s="32">
        <f t="shared" si="19"/>
        <v>-99.922807886403788</v>
      </c>
      <c r="AA45" s="32">
        <f t="shared" si="19"/>
        <v>-98.76264716839799</v>
      </c>
      <c r="AB45" s="32" t="e">
        <f t="shared" si="19"/>
        <v>#REF!</v>
      </c>
      <c r="AC45" s="10"/>
      <c r="AD45" s="32">
        <f t="shared" si="20"/>
        <v>-96.694317944358005</v>
      </c>
      <c r="AE45" s="32">
        <f t="shared" si="21"/>
        <v>-98.556928111818991</v>
      </c>
      <c r="AF45" s="32">
        <f t="shared" si="21"/>
        <v>-96.850344447858021</v>
      </c>
      <c r="AG45" s="32">
        <f t="shared" si="21"/>
        <v>-114.12116433811201</v>
      </c>
      <c r="AH45" s="10"/>
      <c r="AI45" s="32">
        <f t="shared" si="22"/>
        <v>-98.766833220625003</v>
      </c>
      <c r="AJ45" s="32">
        <f t="shared" si="23"/>
        <v>-96.845985696654978</v>
      </c>
      <c r="AK45" s="32">
        <f t="shared" si="23"/>
        <v>-93.865221779424985</v>
      </c>
      <c r="AL45" s="32">
        <f t="shared" si="23"/>
        <v>-112.91926684397902</v>
      </c>
      <c r="AM45" s="10"/>
      <c r="AN45" s="32">
        <f t="shared" si="24"/>
        <v>-91.290132324775996</v>
      </c>
      <c r="AO45" s="32">
        <f t="shared" si="25"/>
        <v>-91.279065484563986</v>
      </c>
      <c r="AP45" s="32">
        <f t="shared" si="25"/>
        <v>-96.514024182941057</v>
      </c>
      <c r="AQ45" s="32">
        <f t="shared" si="25"/>
        <v>-109.61166484448097</v>
      </c>
      <c r="AR45" s="10"/>
    </row>
    <row r="46" spans="2:44" s="3" customFormat="1">
      <c r="B46" s="54" t="s">
        <v>8</v>
      </c>
      <c r="C46" s="26" t="e">
        <f>+#REF!/1000</f>
        <v>#REF!</v>
      </c>
      <c r="D46" s="10"/>
      <c r="E46" s="61">
        <v>-1.0800000000745101E-6</v>
      </c>
      <c r="F46" s="61">
        <v>-2.1600000001490097E-6</v>
      </c>
      <c r="G46" s="61">
        <v>-3.2400000002235205E-6</v>
      </c>
      <c r="H46" s="61" t="e">
        <f>IF(AND($F$7=VALUE($C$4),H$8=$C$8),$C46,0)</f>
        <v>#REF!</v>
      </c>
      <c r="I46" s="10"/>
      <c r="J46" s="61">
        <v>-4.1778645999831501E-5</v>
      </c>
      <c r="K46" s="61">
        <v>0.18399882983999999</v>
      </c>
      <c r="L46" s="61">
        <v>-0.22549676000000002</v>
      </c>
      <c r="M46" s="61">
        <v>-0.225502329999999</v>
      </c>
      <c r="N46" s="10"/>
      <c r="O46" s="61">
        <v>-2.3240000000005198E-6</v>
      </c>
      <c r="P46" s="61">
        <v>5.0999999999999995E-6</v>
      </c>
      <c r="Q46" s="61">
        <v>3.00454250000039E-5</v>
      </c>
      <c r="R46" s="61">
        <v>-5.2282629999986998E-5</v>
      </c>
      <c r="S46" s="10"/>
      <c r="T46" s="61">
        <v>-1.71826458990001E-2</v>
      </c>
      <c r="U46" s="61">
        <v>1.9999999999999999E-6</v>
      </c>
      <c r="V46" s="61">
        <v>-5.9189520999999994</v>
      </c>
      <c r="W46" s="61">
        <v>-30.045312100000004</v>
      </c>
      <c r="X46" s="10"/>
      <c r="Y46" s="26">
        <f t="shared" si="18"/>
        <v>-1.0800000000745101E-6</v>
      </c>
      <c r="Z46" s="26">
        <f t="shared" si="19"/>
        <v>-1.0800000000744995E-6</v>
      </c>
      <c r="AA46" s="26">
        <f t="shared" si="19"/>
        <v>-1.0800000000745108E-6</v>
      </c>
      <c r="AB46" s="26" t="e">
        <f t="shared" si="19"/>
        <v>#REF!</v>
      </c>
      <c r="AC46" s="10"/>
      <c r="AD46" s="26">
        <f t="shared" si="20"/>
        <v>-4.1778645999831501E-5</v>
      </c>
      <c r="AE46" s="26">
        <f t="shared" si="21"/>
        <v>0.18404060848599982</v>
      </c>
      <c r="AF46" s="26">
        <f t="shared" si="21"/>
        <v>-0.40949558984000001</v>
      </c>
      <c r="AG46" s="26">
        <f t="shared" si="21"/>
        <v>-5.5699999989833326E-6</v>
      </c>
      <c r="AH46" s="10"/>
      <c r="AI46" s="26">
        <f t="shared" si="22"/>
        <v>-2.3240000000005198E-6</v>
      </c>
      <c r="AJ46" s="26">
        <f t="shared" si="23"/>
        <v>7.4240000000005188E-6</v>
      </c>
      <c r="AK46" s="26">
        <f t="shared" si="23"/>
        <v>2.4945425000003902E-5</v>
      </c>
      <c r="AL46" s="26">
        <f t="shared" si="23"/>
        <v>-8.2328054999990892E-5</v>
      </c>
      <c r="AM46" s="10"/>
      <c r="AN46" s="26">
        <f t="shared" si="24"/>
        <v>-1.71826458990001E-2</v>
      </c>
      <c r="AO46" s="26">
        <f t="shared" si="25"/>
        <v>1.7184645899000098E-2</v>
      </c>
      <c r="AP46" s="26">
        <f t="shared" si="25"/>
        <v>-5.9189540999999997</v>
      </c>
      <c r="AQ46" s="26">
        <f t="shared" si="25"/>
        <v>-24.126360000000005</v>
      </c>
      <c r="AR46" s="10"/>
    </row>
    <row r="47" spans="2:44" s="3" customFormat="1">
      <c r="B47" s="28" t="s">
        <v>407</v>
      </c>
      <c r="C47" s="29" t="e">
        <f>+C44+C45+C46</f>
        <v>#REF!</v>
      </c>
      <c r="D47" s="12"/>
      <c r="E47" s="29">
        <v>-277.25712969755722</v>
      </c>
      <c r="F47" s="29">
        <v>-619.839370466177</v>
      </c>
      <c r="G47" s="29">
        <v>-830.90443570463992</v>
      </c>
      <c r="H47" s="29" t="e">
        <f>+H44+H45+H46</f>
        <v>#REF!</v>
      </c>
      <c r="I47" s="12"/>
      <c r="J47" s="29">
        <f>+J44+J45+J46</f>
        <v>-283.443468434306</v>
      </c>
      <c r="K47" s="29">
        <f>+K44+K45+K46</f>
        <v>-592.85358048431192</v>
      </c>
      <c r="L47" s="29">
        <f>+L44+L45+L46</f>
        <v>-874.2625608096821</v>
      </c>
      <c r="M47" s="29">
        <v>-1260.0251784477168</v>
      </c>
      <c r="N47" s="12"/>
      <c r="O47" s="29">
        <f>+O44+O45+O46</f>
        <v>-301.437254842713</v>
      </c>
      <c r="P47" s="29">
        <f>+P44+P45+P46</f>
        <v>-545.32013528098423</v>
      </c>
      <c r="Q47" s="29">
        <f>+Q44+Q45+Q46</f>
        <v>-737.70661204462101</v>
      </c>
      <c r="R47" s="29">
        <f>+R44+R45+R46</f>
        <v>-1033.459464762987</v>
      </c>
      <c r="S47" s="12"/>
      <c r="T47" s="29">
        <f>+T44+T45+T46</f>
        <v>-237.26306381294697</v>
      </c>
      <c r="U47" s="29">
        <f>+U44+U45+U46</f>
        <v>-532.42090434957595</v>
      </c>
      <c r="V47" s="29">
        <f>+V44+V45+V46</f>
        <v>-692.84916449299192</v>
      </c>
      <c r="W47" s="29">
        <f>+W44+W45+W46</f>
        <v>-938.72210751518105</v>
      </c>
      <c r="X47" s="12"/>
      <c r="Y47" s="29">
        <f t="shared" si="18"/>
        <v>-277.25712969755722</v>
      </c>
      <c r="Z47" s="29">
        <f t="shared" si="19"/>
        <v>-342.58224076861978</v>
      </c>
      <c r="AA47" s="29">
        <f t="shared" si="19"/>
        <v>-211.06506523846292</v>
      </c>
      <c r="AB47" s="29" t="e">
        <f t="shared" si="19"/>
        <v>#REF!</v>
      </c>
      <c r="AC47" s="12"/>
      <c r="AD47" s="29">
        <f t="shared" si="20"/>
        <v>-283.443468434306</v>
      </c>
      <c r="AE47" s="29">
        <f t="shared" si="21"/>
        <v>-309.41011205000592</v>
      </c>
      <c r="AF47" s="29">
        <f t="shared" si="21"/>
        <v>-281.40898032537018</v>
      </c>
      <c r="AG47" s="29">
        <f t="shared" si="21"/>
        <v>-385.76261763803473</v>
      </c>
      <c r="AH47" s="12"/>
      <c r="AI47" s="29">
        <f t="shared" si="22"/>
        <v>-301.437254842713</v>
      </c>
      <c r="AJ47" s="29">
        <f t="shared" si="23"/>
        <v>-243.88288043827123</v>
      </c>
      <c r="AK47" s="29">
        <f t="shared" si="23"/>
        <v>-192.38647676363678</v>
      </c>
      <c r="AL47" s="29">
        <f t="shared" si="23"/>
        <v>-295.75285271836594</v>
      </c>
      <c r="AM47" s="12"/>
      <c r="AN47" s="29">
        <f t="shared" si="24"/>
        <v>-237.26306381294697</v>
      </c>
      <c r="AO47" s="29">
        <f t="shared" si="25"/>
        <v>-295.15784053662901</v>
      </c>
      <c r="AP47" s="29">
        <f t="shared" si="25"/>
        <v>-160.42826014341597</v>
      </c>
      <c r="AQ47" s="29">
        <f t="shared" si="25"/>
        <v>-245.87294302218913</v>
      </c>
      <c r="AR47" s="12"/>
    </row>
    <row r="48" spans="2:44" s="3" customFormat="1">
      <c r="B48" s="31" t="s">
        <v>383</v>
      </c>
      <c r="C48" s="32" t="e">
        <f>#REF!/1000</f>
        <v>#REF!</v>
      </c>
      <c r="D48" s="10"/>
      <c r="E48" s="60">
        <v>-42.071078999999997</v>
      </c>
      <c r="F48" s="60">
        <v>-42.071078999999997</v>
      </c>
      <c r="G48" s="60">
        <v>-42.071078999999997</v>
      </c>
      <c r="H48" s="60" t="e">
        <f>IF(AND($F$7=VALUE($C$4),H$8=$C$8),$C48,0)</f>
        <v>#REF!</v>
      </c>
      <c r="I48" s="10"/>
      <c r="J48" s="60">
        <v>0</v>
      </c>
      <c r="K48" s="60">
        <v>7.0348620000000004</v>
      </c>
      <c r="L48" s="60">
        <v>6.3457309100000003</v>
      </c>
      <c r="M48" s="60">
        <v>6.3457309100000003</v>
      </c>
      <c r="N48" s="10"/>
      <c r="O48" s="60">
        <v>0</v>
      </c>
      <c r="P48" s="60">
        <v>-2.7179999999702001E-5</v>
      </c>
      <c r="Q48" s="60">
        <v>3.7282000000029805E-4</v>
      </c>
      <c r="R48" s="60">
        <v>-2.7179999999702001E-5</v>
      </c>
      <c r="S48" s="10"/>
      <c r="T48" s="60">
        <v>3.9999999999999998E-6</v>
      </c>
      <c r="U48" s="60">
        <v>-4.0699999999999997E-4</v>
      </c>
      <c r="V48" s="60">
        <v>-3.6209999999403994E-4</v>
      </c>
      <c r="W48" s="60">
        <v>-4.1109999999404E-4</v>
      </c>
      <c r="X48" s="10"/>
      <c r="Y48" s="32">
        <f t="shared" si="18"/>
        <v>-42.071078999999997</v>
      </c>
      <c r="Z48" s="32">
        <f t="shared" si="19"/>
        <v>0</v>
      </c>
      <c r="AA48" s="32">
        <f t="shared" si="19"/>
        <v>0</v>
      </c>
      <c r="AB48" s="32" t="e">
        <f t="shared" si="19"/>
        <v>#REF!</v>
      </c>
      <c r="AC48" s="10"/>
      <c r="AD48" s="32">
        <f t="shared" si="20"/>
        <v>0</v>
      </c>
      <c r="AE48" s="32">
        <f t="shared" si="21"/>
        <v>7.0348620000000004</v>
      </c>
      <c r="AF48" s="32">
        <f t="shared" si="21"/>
        <v>-0.68913109000000006</v>
      </c>
      <c r="AG48" s="32">
        <f t="shared" si="21"/>
        <v>0</v>
      </c>
      <c r="AH48" s="10"/>
      <c r="AI48" s="32">
        <f t="shared" si="22"/>
        <v>0</v>
      </c>
      <c r="AJ48" s="32">
        <f t="shared" si="23"/>
        <v>-2.7179999999702001E-5</v>
      </c>
      <c r="AK48" s="32">
        <f t="shared" si="23"/>
        <v>4.0000000000000007E-4</v>
      </c>
      <c r="AL48" s="32">
        <f t="shared" si="23"/>
        <v>-4.0000000000000007E-4</v>
      </c>
      <c r="AM48" s="10"/>
      <c r="AN48" s="32">
        <f t="shared" si="24"/>
        <v>3.9999999999999998E-6</v>
      </c>
      <c r="AO48" s="32">
        <f t="shared" si="25"/>
        <v>-4.1099999999999996E-4</v>
      </c>
      <c r="AP48" s="32">
        <f t="shared" si="25"/>
        <v>4.4900000005960029E-5</v>
      </c>
      <c r="AQ48" s="32">
        <f t="shared" si="25"/>
        <v>-4.9000000000000053E-5</v>
      </c>
      <c r="AR48" s="10"/>
    </row>
    <row r="49" spans="2:44" s="3" customFormat="1">
      <c r="B49" s="25" t="s">
        <v>321</v>
      </c>
      <c r="C49" s="26" t="e">
        <f>#REF!/1000</f>
        <v>#REF!</v>
      </c>
      <c r="D49" s="10"/>
      <c r="E49" s="61">
        <v>-252.26506626951101</v>
      </c>
      <c r="F49" s="61">
        <v>-352.24586338663005</v>
      </c>
      <c r="G49" s="61">
        <v>-480.47972597720297</v>
      </c>
      <c r="H49" s="61" t="e">
        <f>IF(AND($F$7=VALUE($C$4),H$8=$C$8),$C49,0)</f>
        <v>#REF!</v>
      </c>
      <c r="I49" s="10"/>
      <c r="J49" s="61">
        <v>-91.185893488125402</v>
      </c>
      <c r="K49" s="61">
        <v>-28.058988920893</v>
      </c>
      <c r="L49" s="61">
        <v>-385.51498523819703</v>
      </c>
      <c r="M49" s="61">
        <v>-576.72780332606999</v>
      </c>
      <c r="N49" s="10"/>
      <c r="O49" s="61">
        <v>803.11113522960704</v>
      </c>
      <c r="P49" s="61">
        <v>275.711481412029</v>
      </c>
      <c r="Q49" s="61">
        <v>101.56870375779501</v>
      </c>
      <c r="R49" s="61">
        <v>-56.294061585468803</v>
      </c>
      <c r="S49" s="10"/>
      <c r="T49" s="61">
        <v>-73.186477955946899</v>
      </c>
      <c r="U49" s="61">
        <v>313.77003280336896</v>
      </c>
      <c r="V49" s="61">
        <v>125.34504937455901</v>
      </c>
      <c r="W49" s="61">
        <v>-78.234750143295599</v>
      </c>
      <c r="X49" s="10"/>
      <c r="Y49" s="26">
        <f t="shared" si="18"/>
        <v>-252.26506626951101</v>
      </c>
      <c r="Z49" s="26">
        <f t="shared" si="19"/>
        <v>-99.980797117119039</v>
      </c>
      <c r="AA49" s="26">
        <f t="shared" si="19"/>
        <v>-128.23386259057293</v>
      </c>
      <c r="AB49" s="26" t="e">
        <f t="shared" si="19"/>
        <v>#REF!</v>
      </c>
      <c r="AC49" s="10"/>
      <c r="AD49" s="26">
        <f t="shared" si="20"/>
        <v>-91.185893488125402</v>
      </c>
      <c r="AE49" s="26">
        <f t="shared" si="21"/>
        <v>63.126904567232401</v>
      </c>
      <c r="AF49" s="26">
        <f t="shared" si="21"/>
        <v>-357.45599631730403</v>
      </c>
      <c r="AG49" s="26">
        <f t="shared" si="21"/>
        <v>-191.21281808787296</v>
      </c>
      <c r="AH49" s="10"/>
      <c r="AI49" s="26">
        <f t="shared" si="22"/>
        <v>803.11113522960704</v>
      </c>
      <c r="AJ49" s="26">
        <f t="shared" si="23"/>
        <v>-527.39965381757804</v>
      </c>
      <c r="AK49" s="26">
        <f t="shared" si="23"/>
        <v>-174.14277765423401</v>
      </c>
      <c r="AL49" s="26">
        <f t="shared" si="23"/>
        <v>-157.86276534326382</v>
      </c>
      <c r="AM49" s="10"/>
      <c r="AN49" s="26">
        <f t="shared" si="24"/>
        <v>-73.186477955946899</v>
      </c>
      <c r="AO49" s="26">
        <f t="shared" si="25"/>
        <v>386.95651075931585</v>
      </c>
      <c r="AP49" s="26">
        <f t="shared" si="25"/>
        <v>-188.42498342880995</v>
      </c>
      <c r="AQ49" s="26">
        <f t="shared" si="25"/>
        <v>-203.57979951785461</v>
      </c>
      <c r="AR49" s="10"/>
    </row>
    <row r="50" spans="2:44" s="3" customFormat="1">
      <c r="B50" s="28" t="s">
        <v>384</v>
      </c>
      <c r="C50" s="29" t="e">
        <f>SUM(C47:C49)</f>
        <v>#REF!</v>
      </c>
      <c r="D50" s="12"/>
      <c r="E50" s="29">
        <v>-571.59327496706828</v>
      </c>
      <c r="F50" s="29">
        <v>-1014.156312852807</v>
      </c>
      <c r="G50" s="29">
        <v>-1353.455240681843</v>
      </c>
      <c r="H50" s="29" t="e">
        <f>SUM(H47:H49)</f>
        <v>#REF!</v>
      </c>
      <c r="I50" s="12"/>
      <c r="J50" s="29">
        <f>SUM(J47:J49)</f>
        <v>-374.62936192243137</v>
      </c>
      <c r="K50" s="29">
        <f>SUM(K47:K49)</f>
        <v>-613.877707405205</v>
      </c>
      <c r="L50" s="29">
        <f>SUM(L47:L49)</f>
        <v>-1253.4318151378791</v>
      </c>
      <c r="M50" s="29">
        <v>-1830.4072508637869</v>
      </c>
      <c r="N50" s="12"/>
      <c r="O50" s="29">
        <f>SUM(O47:O49)</f>
        <v>501.67388038689404</v>
      </c>
      <c r="P50" s="29">
        <f>SUM(P47:P49)</f>
        <v>-269.60868104895519</v>
      </c>
      <c r="Q50" s="29">
        <f>SUM(Q47:Q49)</f>
        <v>-636.13753546682597</v>
      </c>
      <c r="R50" s="29">
        <f>SUM(R47:R49)</f>
        <v>-1089.7535535284558</v>
      </c>
      <c r="S50" s="12"/>
      <c r="T50" s="29">
        <f>SUM(T47:T49)</f>
        <v>-310.44953776889389</v>
      </c>
      <c r="U50" s="29">
        <f>SUM(U47:U49)</f>
        <v>-218.65127854620698</v>
      </c>
      <c r="V50" s="29">
        <f>SUM(V47:V49)</f>
        <v>-567.50447721843284</v>
      </c>
      <c r="W50" s="29">
        <f>SUM(W47:W49)</f>
        <v>-1016.9572687584766</v>
      </c>
      <c r="X50" s="12"/>
      <c r="Y50" s="29">
        <f t="shared" si="18"/>
        <v>-571.59327496706828</v>
      </c>
      <c r="Z50" s="29">
        <f t="shared" si="19"/>
        <v>-442.56303788573871</v>
      </c>
      <c r="AA50" s="29">
        <f t="shared" si="19"/>
        <v>-339.29892782903596</v>
      </c>
      <c r="AB50" s="29" t="e">
        <f t="shared" si="19"/>
        <v>#REF!</v>
      </c>
      <c r="AC50" s="12"/>
      <c r="AD50" s="29">
        <f t="shared" si="20"/>
        <v>-374.62936192243137</v>
      </c>
      <c r="AE50" s="29">
        <f t="shared" si="21"/>
        <v>-239.24834548277363</v>
      </c>
      <c r="AF50" s="29">
        <f t="shared" si="21"/>
        <v>-639.55410773267408</v>
      </c>
      <c r="AG50" s="29">
        <f t="shared" si="21"/>
        <v>-576.9754357259078</v>
      </c>
      <c r="AH50" s="12"/>
      <c r="AI50" s="29">
        <f t="shared" si="22"/>
        <v>501.67388038689404</v>
      </c>
      <c r="AJ50" s="29">
        <f t="shared" si="23"/>
        <v>-771.28256143584917</v>
      </c>
      <c r="AK50" s="29">
        <f t="shared" si="23"/>
        <v>-366.52885441787078</v>
      </c>
      <c r="AL50" s="29">
        <f t="shared" si="23"/>
        <v>-453.6160180616298</v>
      </c>
      <c r="AM50" s="12"/>
      <c r="AN50" s="29">
        <f t="shared" si="24"/>
        <v>-310.44953776889389</v>
      </c>
      <c r="AO50" s="29">
        <f t="shared" si="25"/>
        <v>91.798259222686909</v>
      </c>
      <c r="AP50" s="29">
        <f t="shared" si="25"/>
        <v>-348.85319867222586</v>
      </c>
      <c r="AQ50" s="29">
        <f t="shared" si="25"/>
        <v>-449.45279154004379</v>
      </c>
      <c r="AR50" s="12"/>
    </row>
    <row r="51" spans="2:44" s="3" customFormat="1">
      <c r="B51" s="7"/>
      <c r="C51" s="7"/>
      <c r="D51" s="10"/>
      <c r="E51" s="73"/>
      <c r="F51" s="73"/>
      <c r="G51" s="73"/>
      <c r="H51" s="73"/>
      <c r="I51" s="10"/>
      <c r="J51" s="73"/>
      <c r="K51" s="73"/>
      <c r="L51" s="73"/>
      <c r="M51" s="73"/>
      <c r="N51" s="10"/>
      <c r="O51" s="73"/>
      <c r="P51" s="73"/>
      <c r="Q51" s="73"/>
      <c r="R51" s="73"/>
      <c r="S51" s="10"/>
      <c r="T51" s="7"/>
      <c r="U51" s="7"/>
      <c r="V51" s="7"/>
      <c r="W51" s="7"/>
      <c r="X51" s="10"/>
      <c r="Y51" s="7"/>
      <c r="Z51" s="7"/>
      <c r="AA51" s="7"/>
      <c r="AB51" s="7"/>
      <c r="AC51" s="10"/>
      <c r="AD51" s="7"/>
      <c r="AE51" s="7"/>
      <c r="AF51" s="7"/>
      <c r="AG51" s="7"/>
      <c r="AH51" s="10"/>
      <c r="AI51" s="7"/>
      <c r="AJ51" s="7"/>
      <c r="AK51" s="7"/>
      <c r="AL51" s="7"/>
      <c r="AM51" s="10"/>
      <c r="AN51" s="7"/>
      <c r="AO51" s="7"/>
      <c r="AP51" s="7"/>
      <c r="AQ51" s="7"/>
      <c r="AR51" s="10"/>
    </row>
    <row r="52" spans="2:44" s="3" customFormat="1">
      <c r="B52" s="34" t="s">
        <v>385</v>
      </c>
      <c r="C52" s="40" t="str">
        <f>IF(ISERROR(C38/C37*100)," ",C38/C37*100)</f>
        <v xml:space="preserve"> </v>
      </c>
      <c r="D52" s="10"/>
      <c r="E52" s="76">
        <v>-28.130803318849008</v>
      </c>
      <c r="F52" s="76">
        <v>-24.307509047142613</v>
      </c>
      <c r="G52" s="76">
        <v>-21.271587351643166</v>
      </c>
      <c r="H52" s="76" t="str">
        <f>IF(ISERROR(H38/H37*100)," ",H38/H37*100)</f>
        <v xml:space="preserve"> </v>
      </c>
      <c r="I52" s="10"/>
      <c r="J52" s="76">
        <f>IF(ISERROR(J38/J37*100)," ",J38/J37*100)</f>
        <v>-30.039126961394263</v>
      </c>
      <c r="K52" s="76">
        <f>IF(ISERROR(K38/K37*100)," ",K38/K37*100)</f>
        <v>-32.77081717761164</v>
      </c>
      <c r="L52" s="76">
        <f>IF(ISERROR(L38/L37*100)," ",L38/L37*100)</f>
        <v>-32.146592895092446</v>
      </c>
      <c r="M52" s="76">
        <v>-33.812951480749817</v>
      </c>
      <c r="N52" s="10"/>
      <c r="O52" s="76">
        <f>IF(ISERROR(O38/O37*100)," ",O38/O37*100)</f>
        <v>-36.736338720582204</v>
      </c>
      <c r="P52" s="76">
        <f>IF(ISERROR(P38/P37*100)," ",P38/P37*100)</f>
        <v>-29.18356564824316</v>
      </c>
      <c r="Q52" s="76">
        <f>IF(ISERROR(Q38/Q37*100)," ",Q38/Q37*100)</f>
        <v>-25.376582692868332</v>
      </c>
      <c r="R52" s="76">
        <f>IF(ISERROR(R38/R37*100)," ",R38/R37*100)</f>
        <v>-26.902026944086689</v>
      </c>
      <c r="S52" s="10"/>
      <c r="T52" s="76">
        <f>IF(ISERROR(T38/T37*100)," ",T38/T37*100)</f>
        <v>-26.559429360552873</v>
      </c>
      <c r="U52" s="76">
        <f>IF(ISERROR(U38/U37*100)," ",U38/U37*100)</f>
        <v>-30.730330219883189</v>
      </c>
      <c r="V52" s="76">
        <f>IF(ISERROR(V38/V37*100)," ",V38/V37*100)</f>
        <v>-25.820688531095591</v>
      </c>
      <c r="W52" s="76">
        <f>IF(ISERROR(W38/W37*100)," ",W38/W37*100)</f>
        <v>-24.433292010548548</v>
      </c>
      <c r="X52" s="10"/>
      <c r="Y52" s="40">
        <f>IF(ISERROR(Y38/Y37*100)," ",Y38/Y37*100)</f>
        <v>-28.130803318849008</v>
      </c>
      <c r="Z52" s="40">
        <f>IF(ISERROR(Z38/Z37*100)," ",Z38/Z37*100)</f>
        <v>-20.386768266332201</v>
      </c>
      <c r="AA52" s="40">
        <f>IF(ISERROR(AA38/AA37*100)," ",AA38/AA37*100)</f>
        <v>-15.094502209908867</v>
      </c>
      <c r="AB52" s="40" t="str">
        <f>IF(ISERROR(AB38/AB37*100)," ",AB38/AB37*100)</f>
        <v xml:space="preserve"> </v>
      </c>
      <c r="AC52" s="10"/>
      <c r="AD52" s="40">
        <f>IF(ISERROR(AD38/AD37*100)," ",AD38/AD37*100)</f>
        <v>-30.039126961394263</v>
      </c>
      <c r="AE52" s="40">
        <f>IF(ISERROR(AE38/AE37*100)," ",AE38/AE37*100)</f>
        <v>-35.393597594838312</v>
      </c>
      <c r="AF52" s="40">
        <f>IF(ISERROR(AF38/AF37*100)," ",AF38/AF37*100)</f>
        <v>-30.880680983855346</v>
      </c>
      <c r="AG52" s="40">
        <f>IF(ISERROR(AG38/AG37*100)," ",AG38/AG37*100)</f>
        <v>-38.047946739122757</v>
      </c>
      <c r="AH52" s="10"/>
      <c r="AI52" s="40">
        <f>IF(ISERROR(AI38/AI37*100)," ",AI38/AI37*100)</f>
        <v>-36.736338720582204</v>
      </c>
      <c r="AJ52" s="40">
        <f>IF(ISERROR(AJ38/AJ37*100)," ",AJ38/AJ37*100)</f>
        <v>-21.890644655250011</v>
      </c>
      <c r="AK52" s="40">
        <f>IF(ISERROR(AK38/AK37*100)," ",AK38/AK37*100)</f>
        <v>-17.466832940535959</v>
      </c>
      <c r="AL52" s="40">
        <f>IF(ISERROR(AL38/AL37*100)," ",AL38/AL37*100)</f>
        <v>-31.255980340680487</v>
      </c>
      <c r="AM52" s="10"/>
      <c r="AN52" s="40">
        <f>IF(ISERROR(AN38/AN37*100)," ",AN38/AN37*100)</f>
        <v>-26.559429360552873</v>
      </c>
      <c r="AO52" s="40">
        <f>IF(ISERROR(AO38/AO37*100)," ",AO38/AO37*100)</f>
        <v>-34.742109368582639</v>
      </c>
      <c r="AP52" s="40">
        <f>IF(ISERROR(AP38/AP37*100)," ",AP38/AP37*100)</f>
        <v>-15.51921035660154</v>
      </c>
      <c r="AQ52" s="40">
        <f>IF(ISERROR(AQ38/AQ37*100)," ",AQ38/AQ37*100)</f>
        <v>-20.30566460694952</v>
      </c>
      <c r="AR52" s="10"/>
    </row>
    <row r="53" spans="2:44" s="3" customFormat="1">
      <c r="B53" s="36" t="s">
        <v>389</v>
      </c>
      <c r="C53" s="55" t="str">
        <f>IF(ISERROR(C44/C37*100)," ",C44/C37*100)</f>
        <v xml:space="preserve"> </v>
      </c>
      <c r="D53" s="10"/>
      <c r="E53" s="77">
        <v>-28.266866970107234</v>
      </c>
      <c r="F53" s="77">
        <v>-33.782616702144914</v>
      </c>
      <c r="G53" s="77">
        <v>-28.692228458194531</v>
      </c>
      <c r="H53" s="77" t="str">
        <f>IF(ISERROR(H44/H37*100)," ",H44/H37*100)</f>
        <v xml:space="preserve"> </v>
      </c>
      <c r="I53" s="10"/>
      <c r="J53" s="77">
        <f>IF(ISERROR(J44/J37*100)," ",J44/J37*100)</f>
        <v>-35.353169700057165</v>
      </c>
      <c r="K53" s="77">
        <f>IF(ISERROR(K44/K37*100)," ",K44/K37*100)</f>
        <v>-36.886297912539</v>
      </c>
      <c r="L53" s="77">
        <f>IF(ISERROR(L44/L37*100)," ",L44/L37*100)</f>
        <v>-36.141022135523357</v>
      </c>
      <c r="M53" s="77">
        <v>-38.042542672909001</v>
      </c>
      <c r="N53" s="10"/>
      <c r="O53" s="77">
        <f>IF(ISERROR(O44/O37*100)," ",O44/O37*100)</f>
        <v>-36.972663517303992</v>
      </c>
      <c r="P53" s="77">
        <f>IF(ISERROR(P44/P37*100)," ",P44/P37*100)</f>
        <v>-31.339791246983562</v>
      </c>
      <c r="Q53" s="77">
        <f>IF(ISERROR(Q44/Q37*100)," ",Q44/Q37*100)</f>
        <v>-27.117344654165077</v>
      </c>
      <c r="R53" s="77">
        <f>IF(ISERROR(R44/R37*100)," ",R44/R37*100)</f>
        <v>-28.272918362332035</v>
      </c>
      <c r="S53" s="10"/>
      <c r="T53" s="77">
        <f>IF(ISERROR(T44/T37*100)," ",T44/T37*100)</f>
        <v>-26.040660672137712</v>
      </c>
      <c r="U53" s="77">
        <f>IF(ISERROR(U44/U37*100)," ",U44/U37*100)</f>
        <v>-30.602453094316491</v>
      </c>
      <c r="V53" s="77">
        <f>IF(ISERROR(V44/V37*100)," ",V44/V37*100)</f>
        <v>-24.160608152736433</v>
      </c>
      <c r="W53" s="77">
        <f>IF(ISERROR(W44/W37*100)," ",W44/W37*100)</f>
        <v>-23.054298927772113</v>
      </c>
      <c r="X53" s="10"/>
      <c r="Y53" s="55">
        <f>IF(ISERROR(Y44/Y37*100)," ",Y44/Y37*100)</f>
        <v>-28.266866970107234</v>
      </c>
      <c r="Z53" s="55">
        <f>IF(ISERROR(Z44/Z37*100)," ",Z44/Z37*100)</f>
        <v>-39.438949533018615</v>
      </c>
      <c r="AA53" s="55">
        <f>IF(ISERROR(AA44/AA37*100)," ",AA44/AA37*100)</f>
        <v>-18.334991104550603</v>
      </c>
      <c r="AB53" s="55" t="str">
        <f>IF(ISERROR(AB44/AB37*100)," ",AB44/AB37*100)</f>
        <v xml:space="preserve"> </v>
      </c>
      <c r="AC53" s="10"/>
      <c r="AD53" s="55">
        <f>IF(ISERROR(AD44/AD37*100)," ",AD44/AD37*100)</f>
        <v>-35.353169700057165</v>
      </c>
      <c r="AE53" s="55">
        <f>IF(ISERROR(AE44/AE37*100)," ",AE44/AE37*100)</f>
        <v>-38.358301812879908</v>
      </c>
      <c r="AF53" s="55">
        <f>IF(ISERROR(AF44/AF37*100)," ",AF44/AF37*100)</f>
        <v>-34.629620689438823</v>
      </c>
      <c r="AG53" s="55">
        <f>IF(ISERROR(AG44/AG37*100)," ",AG44/AG37*100)</f>
        <v>-42.875194257531824</v>
      </c>
      <c r="AH53" s="10"/>
      <c r="AI53" s="55">
        <f>IF(ISERROR(AI44/AI37*100)," ",AI44/AI37*100)</f>
        <v>-36.972663517303992</v>
      </c>
      <c r="AJ53" s="55">
        <f>IF(ISERROR(AJ44/AJ37*100)," ",AJ44/AJ37*100)</f>
        <v>-25.900717142994012</v>
      </c>
      <c r="AK53" s="55">
        <f>IF(ISERROR(AK44/AK37*100)," ",AK44/AK37*100)</f>
        <v>-18.34438814680021</v>
      </c>
      <c r="AL53" s="55">
        <f>IF(ISERROR(AL44/AL37*100)," ",AL44/AL37*100)</f>
        <v>-31.571179880358386</v>
      </c>
      <c r="AM53" s="10"/>
      <c r="AN53" s="55">
        <f>IF(ISERROR(AN44/AN37*100)," ",AN44/AN37*100)</f>
        <v>-26.040660672137712</v>
      </c>
      <c r="AO53" s="55">
        <f>IF(ISERROR(AO44/AO37*100)," ",AO44/AO37*100)</f>
        <v>-34.990211120032406</v>
      </c>
      <c r="AP53" s="55">
        <f>IF(ISERROR(AP44/AP37*100)," ",AP44/AP37*100)</f>
        <v>-10.644239897042171</v>
      </c>
      <c r="AQ53" s="55">
        <f>IF(ISERROR(AQ44/AQ37*100)," ",AQ44/AQ37*100)</f>
        <v>-19.762931098756216</v>
      </c>
      <c r="AR53" s="10"/>
    </row>
    <row r="54" spans="2:44" s="3" customFormat="1">
      <c r="B54" s="36" t="s">
        <v>386</v>
      </c>
      <c r="C54" s="55" t="str">
        <f>IF(ISERROR(C47/C37*100)," ",C47/C37*100)</f>
        <v xml:space="preserve"> </v>
      </c>
      <c r="D54" s="10"/>
      <c r="E54" s="77">
        <v>-43.942066968086451</v>
      </c>
      <c r="F54" s="77">
        <v>-49.736788160523169</v>
      </c>
      <c r="G54" s="77">
        <v>-44.702503924966628</v>
      </c>
      <c r="H54" s="77" t="str">
        <f>IF(ISERROR(H47/H37*100)," ",H47/H37*100)</f>
        <v xml:space="preserve"> </v>
      </c>
      <c r="I54" s="10"/>
      <c r="J54" s="77">
        <f>IF(ISERROR(J47/J37*100)," ",J47/J37*100)</f>
        <v>-53.658221498780158</v>
      </c>
      <c r="K54" s="77">
        <f>IF(ISERROR(K47/K37*100)," ",K47/K37*100)</f>
        <v>-54.974673486526392</v>
      </c>
      <c r="L54" s="77">
        <f>IF(ISERROR(L47/L37*100)," ",L47/L37*100)</f>
        <v>-54.295955477619806</v>
      </c>
      <c r="M54" s="77">
        <v>-56.157284042315133</v>
      </c>
      <c r="N54" s="10"/>
      <c r="O54" s="77">
        <f>IF(ISERROR(O47/O37*100)," ",O47/O37*100)</f>
        <v>-54.990453138045005</v>
      </c>
      <c r="P54" s="77">
        <f>IF(ISERROR(P47/P37*100)," ",P47/P37*100)</f>
        <v>-48.870064060859697</v>
      </c>
      <c r="Q54" s="77">
        <f>IF(ISERROR(Q47/Q37*100)," ",Q47/Q37*100)</f>
        <v>-44.630450601066052</v>
      </c>
      <c r="R54" s="77">
        <f>IF(ISERROR(R47/R37*100)," ",R47/R37*100)</f>
        <v>-46.301172023023788</v>
      </c>
      <c r="S54" s="10"/>
      <c r="T54" s="77">
        <f>IF(ISERROR(T47/T37*100)," ",T47/T37*100)</f>
        <v>-42.331233841714109</v>
      </c>
      <c r="U54" s="77">
        <f>IF(ISERROR(U47/U37*100)," ",U47/U37*100)</f>
        <v>-46.572262916125169</v>
      </c>
      <c r="V54" s="77">
        <f>IF(ISERROR(V47/V37*100)," ",V47/V37*100)</f>
        <v>-41.043963952803082</v>
      </c>
      <c r="W54" s="77">
        <f>IF(ISERROR(W47/W37*100)," ",W47/W37*100)</f>
        <v>-41.619871229614951</v>
      </c>
      <c r="X54" s="10"/>
      <c r="Y54" s="55">
        <f>IF(ISERROR(Y47/Y37*100)," ",Y47/Y37*100)</f>
        <v>-43.942066968086451</v>
      </c>
      <c r="Z54" s="55">
        <f>IF(ISERROR(Z47/Z37*100)," ",Z47/Z37*100)</f>
        <v>-55.679202758516652</v>
      </c>
      <c r="AA54" s="55">
        <f>IF(ISERROR(AA47/AA37*100)," ",AA47/AA37*100)</f>
        <v>-34.459419461746428</v>
      </c>
      <c r="AB54" s="55" t="str">
        <f>IF(ISERROR(AB47/AB37*100)," ",AB47/AB37*100)</f>
        <v xml:space="preserve"> </v>
      </c>
      <c r="AC54" s="10"/>
      <c r="AD54" s="55">
        <f>IF(ISERROR(AD47/AD37*100)," ",AD47/AD37*100)</f>
        <v>-53.658221498780158</v>
      </c>
      <c r="AE54" s="55">
        <f>IF(ISERROR(AE47/AE37*100)," ",AE47/AE37*100)</f>
        <v>-56.23863982984809</v>
      </c>
      <c r="AF54" s="55">
        <f>IF(ISERROR(AF47/AF37*100)," ",AF47/AF37*100)</f>
        <v>-52.919531592956936</v>
      </c>
      <c r="AG54" s="55">
        <f>IF(ISERROR(AG47/AG37*100)," ",AG47/AG37*100)</f>
        <v>-60.88778905702604</v>
      </c>
      <c r="AH54" s="10"/>
      <c r="AI54" s="55">
        <f>IF(ISERROR(AI47/AI37*100)," ",AI47/AI37*100)</f>
        <v>-54.990453138045005</v>
      </c>
      <c r="AJ54" s="55">
        <f>IF(ISERROR(AJ47/AJ37*100)," ",AJ47/AJ37*100)</f>
        <v>-42.960246096149234</v>
      </c>
      <c r="AK54" s="55">
        <f>IF(ISERROR(AK47/AK37*100)," ",AK47/AK37*100)</f>
        <v>-35.821826578664535</v>
      </c>
      <c r="AL54" s="55">
        <f>IF(ISERROR(AL47/AL37*100)," ",AL47/AL37*100)</f>
        <v>-51.069778416921871</v>
      </c>
      <c r="AM54" s="10"/>
      <c r="AN54" s="55">
        <f>IF(ISERROR(AN47/AN37*100)," ",AN47/AN37*100)</f>
        <v>-42.331233841714109</v>
      </c>
      <c r="AO54" s="55">
        <f>IF(ISERROR(AO47/AO37*100)," ",AO47/AO37*100)</f>
        <v>-50.651494857514976</v>
      </c>
      <c r="AP54" s="55">
        <f>IF(ISERROR(AP47/AP37*100)," ",AP47/AP37*100)</f>
        <v>-29.444410518425297</v>
      </c>
      <c r="AQ54" s="55">
        <f>IF(ISERROR(AQ47/AQ37*100)," ",AQ47/AQ37*100)</f>
        <v>-43.333246333628828</v>
      </c>
      <c r="AR54" s="10"/>
    </row>
    <row r="55" spans="2:44" s="3" customFormat="1">
      <c r="B55" s="36" t="s">
        <v>15</v>
      </c>
      <c r="C55" s="37" t="e">
        <f>#REF!/1000</f>
        <v>#REF!</v>
      </c>
      <c r="D55" s="45"/>
      <c r="E55" s="59">
        <v>142.0829276</v>
      </c>
      <c r="F55" s="59">
        <v>318.72341519999998</v>
      </c>
      <c r="G55" s="59">
        <v>407.69214590000001</v>
      </c>
      <c r="H55" s="59" t="e">
        <f>IF(AND($F$7=VALUE($C$4),H$8=$C$8),$C55,0)</f>
        <v>#REF!</v>
      </c>
      <c r="I55" s="45"/>
      <c r="J55" s="59">
        <v>65.320238700000004</v>
      </c>
      <c r="K55" s="59">
        <v>175.74203530000003</v>
      </c>
      <c r="L55" s="59">
        <v>286.96712830000001</v>
      </c>
      <c r="M55" s="59">
        <v>456.29057991999997</v>
      </c>
      <c r="N55" s="45"/>
      <c r="O55" s="59">
        <v>52.875568399999999</v>
      </c>
      <c r="P55" s="59">
        <v>207.6058108</v>
      </c>
      <c r="Q55" s="59">
        <v>388.02824860000004</v>
      </c>
      <c r="R55" s="59">
        <v>482.2124781</v>
      </c>
      <c r="S55" s="45"/>
      <c r="T55" s="59">
        <v>39.483753400000005</v>
      </c>
      <c r="U55" s="59">
        <v>88.317591920000012</v>
      </c>
      <c r="V55" s="59">
        <v>124.72345750000001</v>
      </c>
      <c r="W55" s="59">
        <v>164.5423251</v>
      </c>
      <c r="X55" s="45"/>
      <c r="Y55" s="37">
        <f>+E55</f>
        <v>142.0829276</v>
      </c>
      <c r="Z55" s="37">
        <f t="shared" ref="Z55:AB56" si="26">+F55-E55</f>
        <v>176.64048759999997</v>
      </c>
      <c r="AA55" s="37">
        <f t="shared" si="26"/>
        <v>88.968730700000037</v>
      </c>
      <c r="AB55" s="37" t="e">
        <f t="shared" si="26"/>
        <v>#REF!</v>
      </c>
      <c r="AC55" s="45"/>
      <c r="AD55" s="37">
        <f>+J55</f>
        <v>65.320238700000004</v>
      </c>
      <c r="AE55" s="37">
        <f t="shared" ref="AE55:AG56" si="27">+K55-J55</f>
        <v>110.42179660000002</v>
      </c>
      <c r="AF55" s="37">
        <f t="shared" si="27"/>
        <v>111.22509299999999</v>
      </c>
      <c r="AG55" s="37">
        <f t="shared" si="27"/>
        <v>169.32345161999996</v>
      </c>
      <c r="AH55" s="45"/>
      <c r="AI55" s="37">
        <f>+O55</f>
        <v>52.875568399999999</v>
      </c>
      <c r="AJ55" s="37">
        <f t="shared" ref="AJ55:AL56" si="28">+P55-O55</f>
        <v>154.73024240000001</v>
      </c>
      <c r="AK55" s="37">
        <f t="shared" si="28"/>
        <v>180.42243780000004</v>
      </c>
      <c r="AL55" s="37">
        <f t="shared" si="28"/>
        <v>94.184229499999958</v>
      </c>
      <c r="AM55" s="45"/>
      <c r="AN55" s="37">
        <f>+T55</f>
        <v>39.483753400000005</v>
      </c>
      <c r="AO55" s="37">
        <f t="shared" ref="AO55:AQ56" si="29">+U55-T55</f>
        <v>48.833838520000008</v>
      </c>
      <c r="AP55" s="37">
        <f t="shared" si="29"/>
        <v>36.405865579999997</v>
      </c>
      <c r="AQ55" s="37">
        <f t="shared" si="29"/>
        <v>39.81886759999999</v>
      </c>
      <c r="AR55" s="45"/>
    </row>
    <row r="56" spans="2:44" s="3" customFormat="1">
      <c r="B56" s="36" t="s">
        <v>0</v>
      </c>
      <c r="C56" s="37" t="e">
        <f>#REF!/1000</f>
        <v>#REF!</v>
      </c>
      <c r="D56" s="51"/>
      <c r="E56" s="59">
        <v>4.8019999999999996</v>
      </c>
      <c r="F56" s="59">
        <v>19.169</v>
      </c>
      <c r="G56" s="59">
        <v>19.207000000000001</v>
      </c>
      <c r="H56" s="59" t="e">
        <f>IF(AND($F$7=VALUE($C$4),H$8=$C$8),$C56,0)</f>
        <v>#REF!</v>
      </c>
      <c r="I56" s="51"/>
      <c r="J56" s="59">
        <v>0.222</v>
      </c>
      <c r="K56" s="59">
        <v>5.1420000000000003</v>
      </c>
      <c r="L56" s="59">
        <v>5224.5540000000001</v>
      </c>
      <c r="M56" s="59">
        <v>5841.0330000000004</v>
      </c>
      <c r="N56" s="51"/>
      <c r="O56" s="59">
        <v>2178.0649003000003</v>
      </c>
      <c r="P56" s="59">
        <v>6330.76224</v>
      </c>
      <c r="Q56" s="59">
        <v>6985.6428578000005</v>
      </c>
      <c r="R56" s="59">
        <v>6993.4579999999996</v>
      </c>
      <c r="S56" s="51"/>
      <c r="T56" s="59">
        <v>4</v>
      </c>
      <c r="U56" s="59">
        <v>4</v>
      </c>
      <c r="V56" s="59">
        <v>81.043999999999997</v>
      </c>
      <c r="W56" s="59">
        <v>325.849265</v>
      </c>
      <c r="X56" s="51"/>
      <c r="Y56" s="37">
        <f>+E56</f>
        <v>4.8019999999999996</v>
      </c>
      <c r="Z56" s="37">
        <f t="shared" si="26"/>
        <v>14.367000000000001</v>
      </c>
      <c r="AA56" s="37">
        <f t="shared" si="26"/>
        <v>3.8000000000000256E-2</v>
      </c>
      <c r="AB56" s="37" t="e">
        <f t="shared" si="26"/>
        <v>#REF!</v>
      </c>
      <c r="AC56" s="51"/>
      <c r="AD56" s="37">
        <f>+J56</f>
        <v>0.222</v>
      </c>
      <c r="AE56" s="37">
        <f t="shared" si="27"/>
        <v>4.92</v>
      </c>
      <c r="AF56" s="37">
        <f t="shared" si="27"/>
        <v>5219.4120000000003</v>
      </c>
      <c r="AG56" s="37">
        <f t="shared" si="27"/>
        <v>616.47900000000027</v>
      </c>
      <c r="AH56" s="51"/>
      <c r="AI56" s="37">
        <f>+O56</f>
        <v>2178.0649003000003</v>
      </c>
      <c r="AJ56" s="37">
        <f t="shared" si="28"/>
        <v>4152.6973397000002</v>
      </c>
      <c r="AK56" s="37">
        <f t="shared" si="28"/>
        <v>654.88061780000044</v>
      </c>
      <c r="AL56" s="37">
        <f t="shared" si="28"/>
        <v>7.8151421999991726</v>
      </c>
      <c r="AM56" s="51"/>
      <c r="AN56" s="37">
        <f>+T56</f>
        <v>4</v>
      </c>
      <c r="AO56" s="37">
        <f t="shared" si="29"/>
        <v>0</v>
      </c>
      <c r="AP56" s="37">
        <f t="shared" si="29"/>
        <v>77.043999999999997</v>
      </c>
      <c r="AQ56" s="37">
        <f t="shared" si="29"/>
        <v>244.80526500000002</v>
      </c>
      <c r="AR56" s="51"/>
    </row>
    <row r="57" spans="2:44">
      <c r="B57" s="5"/>
      <c r="C57" s="9"/>
      <c r="D57" s="51"/>
      <c r="E57" s="9"/>
      <c r="F57" s="9"/>
      <c r="G57" s="9"/>
      <c r="H57" s="9"/>
      <c r="I57" s="51"/>
      <c r="J57" s="9"/>
      <c r="K57" s="9"/>
      <c r="L57" s="9"/>
      <c r="M57" s="9"/>
      <c r="N57" s="51"/>
      <c r="O57" s="9"/>
      <c r="P57" s="9"/>
      <c r="Q57" s="9"/>
      <c r="R57" s="9"/>
      <c r="S57" s="51"/>
      <c r="T57" s="9"/>
      <c r="U57" s="9"/>
      <c r="V57" s="9"/>
      <c r="W57" s="9"/>
      <c r="X57" s="51"/>
      <c r="Y57" s="9"/>
      <c r="Z57" s="9"/>
      <c r="AA57" s="9"/>
      <c r="AB57" s="9"/>
      <c r="AC57" s="51"/>
      <c r="AD57" s="9"/>
      <c r="AE57" s="9"/>
      <c r="AF57" s="9"/>
      <c r="AG57" s="9"/>
      <c r="AH57" s="51"/>
      <c r="AI57" s="9"/>
      <c r="AJ57" s="9"/>
      <c r="AK57" s="9"/>
      <c r="AL57" s="9"/>
      <c r="AM57" s="51"/>
      <c r="AN57" s="9"/>
      <c r="AO57" s="9"/>
      <c r="AP57" s="9"/>
      <c r="AQ57" s="9"/>
      <c r="AR57" s="51"/>
    </row>
    <row r="58" spans="2:44">
      <c r="B58" s="14"/>
      <c r="C58" s="14"/>
      <c r="D58" s="10"/>
      <c r="E58" s="9"/>
      <c r="F58" s="9"/>
      <c r="G58" s="9"/>
      <c r="H58" s="9"/>
      <c r="I58" s="10"/>
      <c r="J58" s="9"/>
      <c r="K58" s="9"/>
      <c r="L58" s="9"/>
      <c r="M58" s="9"/>
      <c r="N58" s="10"/>
      <c r="O58" s="73">
        <v>4383322.75</v>
      </c>
      <c r="P58" s="82">
        <v>8709885.8399999999</v>
      </c>
      <c r="Q58" s="73">
        <v>12539083.789999999</v>
      </c>
      <c r="R58" s="73">
        <v>17642067.34</v>
      </c>
      <c r="S58" s="10"/>
      <c r="T58" s="7"/>
      <c r="U58" s="14"/>
      <c r="V58" s="7"/>
      <c r="W58" s="7"/>
      <c r="X58" s="10"/>
      <c r="Y58" s="3"/>
      <c r="Z58" s="3"/>
      <c r="AA58" s="3"/>
      <c r="AB58" s="3"/>
      <c r="AC58" s="10"/>
      <c r="AH58" s="10"/>
      <c r="AM58" s="10"/>
      <c r="AR58" s="10"/>
    </row>
    <row r="59" spans="2:44">
      <c r="B59" s="14"/>
      <c r="C59" s="14"/>
      <c r="D59" s="10"/>
      <c r="E59" s="73"/>
      <c r="F59" s="82"/>
      <c r="G59" s="73"/>
      <c r="H59" s="73"/>
      <c r="I59" s="10"/>
      <c r="J59" s="73"/>
      <c r="K59" s="82"/>
      <c r="L59" s="73"/>
      <c r="M59" s="73"/>
      <c r="N59" s="10"/>
      <c r="O59" s="73">
        <v>-49511638.579999998</v>
      </c>
      <c r="P59" s="83">
        <v>-86223979.170000002</v>
      </c>
      <c r="Q59" s="73">
        <v>-125395954.04000001</v>
      </c>
      <c r="R59" s="73">
        <v>-205978849.72999999</v>
      </c>
      <c r="S59" s="10"/>
      <c r="T59" s="7"/>
      <c r="U59" s="14"/>
      <c r="V59" s="7"/>
      <c r="W59" s="7"/>
      <c r="X59" s="10"/>
      <c r="Y59" s="3"/>
      <c r="Z59" s="3"/>
      <c r="AA59" s="3"/>
      <c r="AB59" s="3"/>
      <c r="AC59" s="10"/>
      <c r="AH59" s="10"/>
      <c r="AM59" s="10"/>
      <c r="AR59" s="10"/>
    </row>
    <row r="60" spans="2:44">
      <c r="B60" s="19" t="s">
        <v>416</v>
      </c>
      <c r="C60" s="19"/>
      <c r="D60" s="6"/>
      <c r="E60" s="70"/>
      <c r="F60" s="194">
        <f>$F$7</f>
        <v>2014</v>
      </c>
      <c r="G60" s="194"/>
      <c r="H60" s="70"/>
      <c r="I60" s="6"/>
      <c r="J60" s="70"/>
      <c r="K60" s="194">
        <f>$K$7</f>
        <v>2013</v>
      </c>
      <c r="L60" s="194"/>
      <c r="M60" s="70"/>
      <c r="N60" s="6"/>
      <c r="O60" s="70"/>
      <c r="P60" s="194">
        <f>$P$7</f>
        <v>2012</v>
      </c>
      <c r="Q60" s="194"/>
      <c r="R60" s="70"/>
      <c r="S60" s="6"/>
      <c r="T60" s="22"/>
      <c r="U60" s="192">
        <f>$U$7</f>
        <v>2011</v>
      </c>
      <c r="V60" s="192"/>
      <c r="W60" s="22"/>
      <c r="X60" s="6"/>
      <c r="Y60" s="22"/>
      <c r="Z60" s="192">
        <f>$Z$7</f>
        <v>2014</v>
      </c>
      <c r="AA60" s="192"/>
      <c r="AB60" s="22"/>
      <c r="AC60" s="6"/>
      <c r="AD60" s="22"/>
      <c r="AE60" s="192">
        <f>$AE$7</f>
        <v>2013</v>
      </c>
      <c r="AF60" s="192"/>
      <c r="AG60" s="22"/>
      <c r="AH60" s="6"/>
      <c r="AI60" s="22"/>
      <c r="AJ60" s="192">
        <f>$AJ$7</f>
        <v>2012</v>
      </c>
      <c r="AK60" s="192"/>
      <c r="AL60" s="22"/>
      <c r="AM60" s="6"/>
      <c r="AN60" s="22"/>
      <c r="AO60" s="192">
        <f>$AO$7</f>
        <v>2011</v>
      </c>
      <c r="AP60" s="192"/>
      <c r="AQ60" s="22"/>
      <c r="AR60" s="6"/>
    </row>
    <row r="61" spans="2:44" ht="16" thickBot="1">
      <c r="B61" s="20" t="s">
        <v>16</v>
      </c>
      <c r="C61" s="21" t="e">
        <f>IF(RIGHT(#REF!,2)="12",RIGHT(#REF!,2)&amp;"M",RIGHT(#REF!,1)&amp;"M")</f>
        <v>#REF!</v>
      </c>
      <c r="E61" s="71" t="s">
        <v>403</v>
      </c>
      <c r="F61" s="71" t="s">
        <v>404</v>
      </c>
      <c r="G61" s="71" t="s">
        <v>405</v>
      </c>
      <c r="H61" s="71" t="s">
        <v>406</v>
      </c>
      <c r="J61" s="71" t="s">
        <v>403</v>
      </c>
      <c r="K61" s="71" t="s">
        <v>404</v>
      </c>
      <c r="L61" s="71" t="s">
        <v>405</v>
      </c>
      <c r="M61" s="71" t="s">
        <v>406</v>
      </c>
      <c r="O61" s="71" t="s">
        <v>403</v>
      </c>
      <c r="P61" s="71" t="s">
        <v>404</v>
      </c>
      <c r="Q61" s="71" t="s">
        <v>405</v>
      </c>
      <c r="R61" s="71" t="s">
        <v>406</v>
      </c>
      <c r="T61" s="21" t="s">
        <v>403</v>
      </c>
      <c r="U61" s="21" t="s">
        <v>404</v>
      </c>
      <c r="V61" s="21" t="s">
        <v>405</v>
      </c>
      <c r="W61" s="21" t="s">
        <v>406</v>
      </c>
      <c r="Y61" s="21" t="s">
        <v>390</v>
      </c>
      <c r="Z61" s="21" t="s">
        <v>391</v>
      </c>
      <c r="AA61" s="21" t="s">
        <v>392</v>
      </c>
      <c r="AB61" s="21" t="s">
        <v>393</v>
      </c>
      <c r="AD61" s="21" t="s">
        <v>390</v>
      </c>
      <c r="AE61" s="21" t="s">
        <v>391</v>
      </c>
      <c r="AF61" s="21" t="s">
        <v>392</v>
      </c>
      <c r="AG61" s="21" t="s">
        <v>393</v>
      </c>
      <c r="AI61" s="21" t="s">
        <v>390</v>
      </c>
      <c r="AJ61" s="21" t="s">
        <v>391</v>
      </c>
      <c r="AK61" s="21" t="s">
        <v>392</v>
      </c>
      <c r="AL61" s="21" t="s">
        <v>393</v>
      </c>
      <c r="AN61" s="21" t="s">
        <v>390</v>
      </c>
      <c r="AO61" s="21" t="s">
        <v>391</v>
      </c>
      <c r="AP61" s="21" t="s">
        <v>392</v>
      </c>
      <c r="AQ61" s="21" t="s">
        <v>393</v>
      </c>
    </row>
    <row r="62" spans="2:44" s="3" customFormat="1">
      <c r="B62" s="36" t="s">
        <v>302</v>
      </c>
      <c r="C62" s="58" t="e">
        <f>#REF!/1000</f>
        <v>#REF!</v>
      </c>
      <c r="D62" s="10"/>
      <c r="E62" s="59">
        <v>141.03699661524098</v>
      </c>
      <c r="F62" s="59">
        <v>307.86360533433196</v>
      </c>
      <c r="G62" s="59">
        <v>471.84319397549501</v>
      </c>
      <c r="H62" s="59" t="e">
        <f>IF(AND($F$7=VALUE($C$4),H$8=$C$8),$C62,0)</f>
        <v>#REF!</v>
      </c>
      <c r="I62" s="10"/>
      <c r="J62" s="59">
        <v>119.40413113663</v>
      </c>
      <c r="K62" s="59">
        <v>243.53817186527999</v>
      </c>
      <c r="L62" s="59">
        <v>371.28007862249399</v>
      </c>
      <c r="M62" s="59">
        <v>521.252005490192</v>
      </c>
      <c r="N62" s="10"/>
      <c r="O62" s="59">
        <v>86.302323054519988</v>
      </c>
      <c r="P62" s="59">
        <v>176.61635694533902</v>
      </c>
      <c r="Q62" s="59">
        <v>275.30120176532006</v>
      </c>
      <c r="R62" s="59">
        <v>381.27163423597199</v>
      </c>
      <c r="S62" s="10"/>
      <c r="T62" s="59">
        <v>65.091994484169007</v>
      </c>
      <c r="U62" s="59">
        <v>132.54034418298002</v>
      </c>
      <c r="V62" s="59">
        <v>200.76447190153803</v>
      </c>
      <c r="W62" s="59">
        <v>294.70398092356595</v>
      </c>
      <c r="X62" s="10"/>
      <c r="Y62" s="37">
        <f t="shared" ref="Y62:Y77" si="30">+E62</f>
        <v>141.03699661524098</v>
      </c>
      <c r="Z62" s="37">
        <f t="shared" ref="Z62:AB77" si="31">+F62-E62</f>
        <v>166.82660871909098</v>
      </c>
      <c r="AA62" s="37">
        <f t="shared" si="31"/>
        <v>163.97958864116305</v>
      </c>
      <c r="AB62" s="37" t="e">
        <f t="shared" si="31"/>
        <v>#REF!</v>
      </c>
      <c r="AC62" s="10"/>
      <c r="AD62" s="37">
        <f t="shared" ref="AD62:AD77" si="32">+J62</f>
        <v>119.40413113663</v>
      </c>
      <c r="AE62" s="37">
        <f t="shared" ref="AE62:AG77" si="33">+K62-J62</f>
        <v>124.13404072864999</v>
      </c>
      <c r="AF62" s="37">
        <f t="shared" si="33"/>
        <v>127.741906757214</v>
      </c>
      <c r="AG62" s="37">
        <f t="shared" si="33"/>
        <v>149.97192686769802</v>
      </c>
      <c r="AH62" s="10"/>
      <c r="AI62" s="37">
        <f t="shared" ref="AI62:AI77" si="34">+O62</f>
        <v>86.302323054519988</v>
      </c>
      <c r="AJ62" s="37">
        <f t="shared" ref="AJ62:AL77" si="35">+P62-O62</f>
        <v>90.314033890819033</v>
      </c>
      <c r="AK62" s="37">
        <f t="shared" si="35"/>
        <v>98.684844819981038</v>
      </c>
      <c r="AL62" s="37">
        <f t="shared" si="35"/>
        <v>105.97043247065193</v>
      </c>
      <c r="AM62" s="10"/>
      <c r="AN62" s="37">
        <f t="shared" ref="AN62:AN77" si="36">+T62</f>
        <v>65.091994484169007</v>
      </c>
      <c r="AO62" s="37">
        <f t="shared" ref="AO62:AQ77" si="37">+U62-T62</f>
        <v>67.448349698811015</v>
      </c>
      <c r="AP62" s="37">
        <f t="shared" si="37"/>
        <v>68.224127718558009</v>
      </c>
      <c r="AQ62" s="37">
        <f t="shared" si="37"/>
        <v>93.93950902202792</v>
      </c>
      <c r="AR62" s="10"/>
    </row>
    <row r="63" spans="2:44" s="3" customFormat="1">
      <c r="B63" s="5" t="s">
        <v>303</v>
      </c>
      <c r="C63" s="8" t="e">
        <f>#REF!/1000</f>
        <v>#REF!</v>
      </c>
      <c r="D63" s="10"/>
      <c r="E63" s="62">
        <v>13.929460265299999</v>
      </c>
      <c r="F63" s="62">
        <v>29.945569373472001</v>
      </c>
      <c r="G63" s="62">
        <v>41.360550291400003</v>
      </c>
      <c r="H63" s="62" t="e">
        <f>IF(AND($F$7=VALUE($C$4),H$8=$C$8),$C63,0)</f>
        <v>#REF!</v>
      </c>
      <c r="I63" s="10"/>
      <c r="J63" s="62">
        <v>2.6709732871930001</v>
      </c>
      <c r="K63" s="62">
        <v>19.249141932607998</v>
      </c>
      <c r="L63" s="62">
        <v>19.891123390604999</v>
      </c>
      <c r="M63" s="62">
        <v>35.153952659768002</v>
      </c>
      <c r="N63" s="10"/>
      <c r="O63" s="89">
        <f>19.972575013+O58/1000000</f>
        <v>24.355897763000002</v>
      </c>
      <c r="P63" s="89">
        <f>41.383237174+P58/1000000</f>
        <v>50.093123014</v>
      </c>
      <c r="Q63" s="89">
        <f>44.976651735+Q58/1000000</f>
        <v>57.515735524999997</v>
      </c>
      <c r="R63" s="89">
        <f>48.8388127628166+R58/1000000</f>
        <v>66.480880102816599</v>
      </c>
      <c r="S63" s="10"/>
      <c r="T63" s="89">
        <f>0.467729227977+6363502/1000000</f>
        <v>6.8312312279770007</v>
      </c>
      <c r="U63" s="89">
        <f>0.637115940772+8275455.91/1000000</f>
        <v>8.9125718507720002</v>
      </c>
      <c r="V63" s="89">
        <f>23.990804664636+13533948.28/1000000</f>
        <v>37.524752944635999</v>
      </c>
      <c r="W63" s="89">
        <f>48.906901956769+18169133.62/1000000</f>
        <v>67.076035576769002</v>
      </c>
      <c r="X63" s="10"/>
      <c r="Y63" s="8">
        <f t="shared" si="30"/>
        <v>13.929460265299999</v>
      </c>
      <c r="Z63" s="8">
        <f t="shared" si="31"/>
        <v>16.016109108172003</v>
      </c>
      <c r="AA63" s="8">
        <f t="shared" si="31"/>
        <v>11.414980917928002</v>
      </c>
      <c r="AB63" s="8" t="e">
        <f t="shared" si="31"/>
        <v>#REF!</v>
      </c>
      <c r="AC63" s="10"/>
      <c r="AD63" s="8">
        <f t="shared" si="32"/>
        <v>2.6709732871930001</v>
      </c>
      <c r="AE63" s="8">
        <f t="shared" si="33"/>
        <v>16.578168645414998</v>
      </c>
      <c r="AF63" s="8">
        <f t="shared" si="33"/>
        <v>0.64198145799700157</v>
      </c>
      <c r="AG63" s="8">
        <f t="shared" si="33"/>
        <v>15.262829269163003</v>
      </c>
      <c r="AH63" s="10"/>
      <c r="AI63" s="8">
        <f t="shared" si="34"/>
        <v>24.355897763000002</v>
      </c>
      <c r="AJ63" s="8">
        <f t="shared" si="35"/>
        <v>25.737225250999998</v>
      </c>
      <c r="AK63" s="8">
        <f t="shared" si="35"/>
        <v>7.422612510999997</v>
      </c>
      <c r="AL63" s="8">
        <f t="shared" si="35"/>
        <v>8.9651445778166021</v>
      </c>
      <c r="AM63" s="10"/>
      <c r="AN63" s="8">
        <f t="shared" si="36"/>
        <v>6.8312312279770007</v>
      </c>
      <c r="AO63" s="8">
        <f t="shared" si="37"/>
        <v>2.0813406227949995</v>
      </c>
      <c r="AP63" s="8">
        <f t="shared" si="37"/>
        <v>28.612181093863999</v>
      </c>
      <c r="AQ63" s="8">
        <f t="shared" si="37"/>
        <v>29.551282632133002</v>
      </c>
      <c r="AR63" s="10"/>
    </row>
    <row r="64" spans="2:44">
      <c r="B64" s="28" t="s">
        <v>322</v>
      </c>
      <c r="C64" s="29" t="e">
        <f>+C62+C63</f>
        <v>#REF!</v>
      </c>
      <c r="D64" s="12"/>
      <c r="E64" s="29">
        <v>154.96645688054099</v>
      </c>
      <c r="F64" s="29">
        <v>337.80917470780395</v>
      </c>
      <c r="G64" s="29">
        <v>513.203744266895</v>
      </c>
      <c r="H64" s="29" t="e">
        <f>+H62+H63</f>
        <v>#REF!</v>
      </c>
      <c r="I64" s="12"/>
      <c r="J64" s="29">
        <f>+J62+J63</f>
        <v>122.07510442382301</v>
      </c>
      <c r="K64" s="29">
        <f>+K62+K63</f>
        <v>262.78731379788798</v>
      </c>
      <c r="L64" s="29">
        <f>+L62+L63</f>
        <v>391.17120201309899</v>
      </c>
      <c r="M64" s="29">
        <v>556.40595814996004</v>
      </c>
      <c r="N64" s="12"/>
      <c r="O64" s="29">
        <f>+O62+O63</f>
        <v>110.65822081751999</v>
      </c>
      <c r="P64" s="29">
        <f>+P62+P63</f>
        <v>226.70947995933903</v>
      </c>
      <c r="Q64" s="29">
        <f>+Q62+Q63</f>
        <v>332.81693729032008</v>
      </c>
      <c r="R64" s="29">
        <f>+R62+R63</f>
        <v>447.75251433878861</v>
      </c>
      <c r="S64" s="12"/>
      <c r="T64" s="29">
        <f>+T62+T63</f>
        <v>71.923225712146007</v>
      </c>
      <c r="U64" s="29">
        <f>+U62+U63</f>
        <v>141.45291603375202</v>
      </c>
      <c r="V64" s="29">
        <f>+V62+V63</f>
        <v>238.28922484617402</v>
      </c>
      <c r="W64" s="29">
        <f>+W62+W63</f>
        <v>361.78001650033497</v>
      </c>
      <c r="X64" s="12"/>
      <c r="Y64" s="29">
        <f t="shared" si="30"/>
        <v>154.96645688054099</v>
      </c>
      <c r="Z64" s="29">
        <f t="shared" si="31"/>
        <v>182.84271782726296</v>
      </c>
      <c r="AA64" s="29">
        <f t="shared" si="31"/>
        <v>175.39456955909105</v>
      </c>
      <c r="AB64" s="29" t="e">
        <f t="shared" si="31"/>
        <v>#REF!</v>
      </c>
      <c r="AC64" s="12"/>
      <c r="AD64" s="29">
        <f t="shared" si="32"/>
        <v>122.07510442382301</v>
      </c>
      <c r="AE64" s="29">
        <f t="shared" si="33"/>
        <v>140.71220937406497</v>
      </c>
      <c r="AF64" s="29">
        <f t="shared" si="33"/>
        <v>128.38388821521102</v>
      </c>
      <c r="AG64" s="29">
        <f t="shared" si="33"/>
        <v>165.23475613686105</v>
      </c>
      <c r="AH64" s="12"/>
      <c r="AI64" s="29">
        <f t="shared" si="34"/>
        <v>110.65822081751999</v>
      </c>
      <c r="AJ64" s="29">
        <f t="shared" si="35"/>
        <v>116.05125914181905</v>
      </c>
      <c r="AK64" s="29">
        <f t="shared" si="35"/>
        <v>106.10745733098105</v>
      </c>
      <c r="AL64" s="29">
        <f t="shared" si="35"/>
        <v>114.93557704846853</v>
      </c>
      <c r="AM64" s="12"/>
      <c r="AN64" s="29">
        <f t="shared" si="36"/>
        <v>71.923225712146007</v>
      </c>
      <c r="AO64" s="29">
        <f t="shared" si="37"/>
        <v>69.529690321606012</v>
      </c>
      <c r="AP64" s="29">
        <f t="shared" si="37"/>
        <v>96.836308812422004</v>
      </c>
      <c r="AQ64" s="29">
        <f t="shared" si="37"/>
        <v>123.49079165416094</v>
      </c>
      <c r="AR64" s="12"/>
    </row>
    <row r="65" spans="2:44" s="3" customFormat="1">
      <c r="B65" s="28" t="s">
        <v>379</v>
      </c>
      <c r="C65" s="29" t="e">
        <f>+#REF!/1000</f>
        <v>#REF!</v>
      </c>
      <c r="D65" s="12"/>
      <c r="E65" s="63">
        <v>-45.538553267183495</v>
      </c>
      <c r="F65" s="63">
        <v>-81.384535329298302</v>
      </c>
      <c r="G65" s="63">
        <v>-108.010699224966</v>
      </c>
      <c r="H65" s="63" t="e">
        <f>IF(AND($F$7=VALUE($C$4),H$8=$C$8),$C65,0)</f>
        <v>#REF!</v>
      </c>
      <c r="I65" s="12"/>
      <c r="J65" s="63">
        <v>-70.812995223758989</v>
      </c>
      <c r="K65" s="63">
        <v>-159.46268745705598</v>
      </c>
      <c r="L65" s="63">
        <v>-208.52156979278101</v>
      </c>
      <c r="M65" s="63">
        <v>-263.147452310164</v>
      </c>
      <c r="N65" s="12"/>
      <c r="O65" s="90">
        <f>1.18417745491603+O59/1000000</f>
        <v>-48.327461125083964</v>
      </c>
      <c r="P65" s="90">
        <f>16.50732130429+P59/1000000</f>
        <v>-69.716657865710005</v>
      </c>
      <c r="Q65" s="90">
        <f>19.88913319926+Q59/1000000</f>
        <v>-105.50682084074</v>
      </c>
      <c r="R65" s="90">
        <f>26.6247076563841+R59/1000000</f>
        <v>-179.35414207361589</v>
      </c>
      <c r="S65" s="12"/>
      <c r="T65" s="90">
        <f>-6.920246087102+-24283498.87/1000000</f>
        <v>-31.203744957102003</v>
      </c>
      <c r="U65" s="90">
        <f>-23.610865130364+-56538471.51/1000000</f>
        <v>-80.149336640363998</v>
      </c>
      <c r="V65" s="90">
        <f>-16.682118818848+-75829669.14/1000000</f>
        <v>-92.511787958848004</v>
      </c>
      <c r="W65" s="90">
        <f>18.272313870308+-137707863.04/1000000</f>
        <v>-119.43554916969198</v>
      </c>
      <c r="X65" s="12"/>
      <c r="Y65" s="30">
        <f t="shared" si="30"/>
        <v>-45.538553267183495</v>
      </c>
      <c r="Z65" s="30">
        <f t="shared" si="31"/>
        <v>-35.845982062114807</v>
      </c>
      <c r="AA65" s="30">
        <f t="shared" si="31"/>
        <v>-26.626163895667702</v>
      </c>
      <c r="AB65" s="30" t="e">
        <f t="shared" si="31"/>
        <v>#REF!</v>
      </c>
      <c r="AC65" s="12"/>
      <c r="AD65" s="30">
        <f t="shared" si="32"/>
        <v>-70.812995223758989</v>
      </c>
      <c r="AE65" s="30">
        <f t="shared" si="33"/>
        <v>-88.649692233296989</v>
      </c>
      <c r="AF65" s="30">
        <f t="shared" si="33"/>
        <v>-49.058882335725031</v>
      </c>
      <c r="AG65" s="30">
        <f t="shared" si="33"/>
        <v>-54.62588251738299</v>
      </c>
      <c r="AH65" s="12"/>
      <c r="AI65" s="30">
        <f t="shared" si="34"/>
        <v>-48.327461125083964</v>
      </c>
      <c r="AJ65" s="30">
        <f t="shared" si="35"/>
        <v>-21.389196740626041</v>
      </c>
      <c r="AK65" s="30">
        <f t="shared" si="35"/>
        <v>-35.79016297503</v>
      </c>
      <c r="AL65" s="30">
        <f t="shared" si="35"/>
        <v>-73.847321232875885</v>
      </c>
      <c r="AM65" s="12"/>
      <c r="AN65" s="30">
        <f t="shared" si="36"/>
        <v>-31.203744957102003</v>
      </c>
      <c r="AO65" s="30">
        <f t="shared" si="37"/>
        <v>-48.945591683261995</v>
      </c>
      <c r="AP65" s="30">
        <f t="shared" si="37"/>
        <v>-12.362451318484005</v>
      </c>
      <c r="AQ65" s="30">
        <f t="shared" si="37"/>
        <v>-26.923761210843978</v>
      </c>
      <c r="AR65" s="12"/>
    </row>
    <row r="66" spans="2:44" s="3" customFormat="1">
      <c r="B66" s="36" t="s">
        <v>375</v>
      </c>
      <c r="C66" s="32" t="e">
        <f>SUM(#REF!)/1000</f>
        <v>#REF!</v>
      </c>
      <c r="D66" s="10"/>
      <c r="E66" s="60">
        <v>-0.55763699999999994</v>
      </c>
      <c r="F66" s="60">
        <v>6.2156932000000005</v>
      </c>
      <c r="G66" s="60">
        <v>6.2952842000000002</v>
      </c>
      <c r="H66" s="60" t="e">
        <f>IF(AND($F$7=VALUE($C$4),H$8=$C$8),$C66,0)</f>
        <v>#REF!</v>
      </c>
      <c r="I66" s="10"/>
      <c r="J66" s="60">
        <v>0</v>
      </c>
      <c r="K66" s="60">
        <v>9.6436144399999986</v>
      </c>
      <c r="L66" s="60">
        <v>9.6436144399999986</v>
      </c>
      <c r="M66" s="60">
        <v>16.07361444</v>
      </c>
      <c r="N66" s="10"/>
      <c r="O66" s="60">
        <v>-0.10192</v>
      </c>
      <c r="P66" s="60">
        <v>-0.10192</v>
      </c>
      <c r="Q66" s="60">
        <v>-0.10192</v>
      </c>
      <c r="R66" s="60">
        <v>7.5221300324789997</v>
      </c>
      <c r="S66" s="10"/>
      <c r="T66" s="60">
        <v>-0.42799999999999999</v>
      </c>
      <c r="U66" s="60">
        <v>1.4870000000000001</v>
      </c>
      <c r="V66" s="60">
        <v>64.88113938725499</v>
      </c>
      <c r="W66" s="60">
        <v>54.773494007411003</v>
      </c>
      <c r="X66" s="10"/>
      <c r="Y66" s="32">
        <f t="shared" si="30"/>
        <v>-0.55763699999999994</v>
      </c>
      <c r="Z66" s="32">
        <f t="shared" si="31"/>
        <v>6.7733302000000002</v>
      </c>
      <c r="AA66" s="32">
        <f t="shared" si="31"/>
        <v>7.9590999999999745E-2</v>
      </c>
      <c r="AB66" s="32" t="e">
        <f t="shared" si="31"/>
        <v>#REF!</v>
      </c>
      <c r="AC66" s="10"/>
      <c r="AD66" s="32">
        <f t="shared" si="32"/>
        <v>0</v>
      </c>
      <c r="AE66" s="32">
        <f t="shared" si="33"/>
        <v>9.6436144399999986</v>
      </c>
      <c r="AF66" s="32">
        <f t="shared" si="33"/>
        <v>0</v>
      </c>
      <c r="AG66" s="32">
        <f t="shared" si="33"/>
        <v>6.4300000000000015</v>
      </c>
      <c r="AH66" s="10"/>
      <c r="AI66" s="32">
        <f t="shared" si="34"/>
        <v>-0.10192</v>
      </c>
      <c r="AJ66" s="32">
        <f t="shared" si="35"/>
        <v>0</v>
      </c>
      <c r="AK66" s="32">
        <f t="shared" si="35"/>
        <v>0</v>
      </c>
      <c r="AL66" s="32">
        <f t="shared" si="35"/>
        <v>7.6240500324789995</v>
      </c>
      <c r="AM66" s="10"/>
      <c r="AN66" s="32">
        <f t="shared" si="36"/>
        <v>-0.42799999999999999</v>
      </c>
      <c r="AO66" s="32">
        <f t="shared" si="37"/>
        <v>1.915</v>
      </c>
      <c r="AP66" s="32">
        <f t="shared" si="37"/>
        <v>63.394139387254988</v>
      </c>
      <c r="AQ66" s="32">
        <f t="shared" si="37"/>
        <v>-10.107645379843987</v>
      </c>
      <c r="AR66" s="10"/>
    </row>
    <row r="67" spans="2:44" s="3" customFormat="1">
      <c r="B67" s="36" t="s">
        <v>380</v>
      </c>
      <c r="C67" s="37" t="e">
        <f>+#REF!/1000</f>
        <v>#REF!</v>
      </c>
      <c r="D67" s="10"/>
      <c r="E67" s="59">
        <v>-6.9939585374999993</v>
      </c>
      <c r="F67" s="59">
        <v>-9.3394421867999995</v>
      </c>
      <c r="G67" s="59">
        <v>-11.797720684</v>
      </c>
      <c r="H67" s="59" t="e">
        <f>IF(AND($F$7=VALUE($C$4),H$8=$C$8),$C67,0)</f>
        <v>#REF!</v>
      </c>
      <c r="I67" s="10"/>
      <c r="J67" s="59">
        <v>-2.6718203873000004</v>
      </c>
      <c r="K67" s="59">
        <v>-50.706677363600001</v>
      </c>
      <c r="L67" s="59">
        <v>-107.4504538035</v>
      </c>
      <c r="M67" s="59">
        <v>-99.902167615799996</v>
      </c>
      <c r="N67" s="10"/>
      <c r="O67" s="59">
        <v>-3.1400479999999997</v>
      </c>
      <c r="P67" s="59">
        <v>-3.1250255999999998</v>
      </c>
      <c r="Q67" s="59">
        <v>-3.1547040000000002</v>
      </c>
      <c r="R67" s="59">
        <v>-4.1942962000000001</v>
      </c>
      <c r="S67" s="10"/>
      <c r="T67" s="59">
        <v>1.1234932335900001</v>
      </c>
      <c r="U67" s="59">
        <v>2.1312104000000001</v>
      </c>
      <c r="V67" s="59">
        <v>1.9431109</v>
      </c>
      <c r="W67" s="59">
        <v>-3.3161991259320001</v>
      </c>
      <c r="X67" s="10"/>
      <c r="Y67" s="37">
        <f t="shared" si="30"/>
        <v>-6.9939585374999993</v>
      </c>
      <c r="Z67" s="37">
        <f t="shared" si="31"/>
        <v>-2.3454836493000002</v>
      </c>
      <c r="AA67" s="37">
        <f t="shared" si="31"/>
        <v>-2.4582784972000002</v>
      </c>
      <c r="AB67" s="37" t="e">
        <f t="shared" si="31"/>
        <v>#REF!</v>
      </c>
      <c r="AC67" s="10"/>
      <c r="AD67" s="37">
        <f t="shared" si="32"/>
        <v>-2.6718203873000004</v>
      </c>
      <c r="AE67" s="37">
        <f t="shared" si="33"/>
        <v>-48.034856976299999</v>
      </c>
      <c r="AF67" s="37">
        <f t="shared" si="33"/>
        <v>-56.743776439899996</v>
      </c>
      <c r="AG67" s="37">
        <f t="shared" si="33"/>
        <v>7.5482861877000005</v>
      </c>
      <c r="AH67" s="10"/>
      <c r="AI67" s="37">
        <f t="shared" si="34"/>
        <v>-3.1400479999999997</v>
      </c>
      <c r="AJ67" s="37">
        <f t="shared" si="35"/>
        <v>1.502239999999988E-2</v>
      </c>
      <c r="AK67" s="37">
        <f t="shared" si="35"/>
        <v>-2.9678400000000327E-2</v>
      </c>
      <c r="AL67" s="37">
        <f t="shared" si="35"/>
        <v>-1.0395922</v>
      </c>
      <c r="AM67" s="10"/>
      <c r="AN67" s="37">
        <f t="shared" si="36"/>
        <v>1.1234932335900001</v>
      </c>
      <c r="AO67" s="37">
        <f t="shared" si="37"/>
        <v>1.00771716641</v>
      </c>
      <c r="AP67" s="37">
        <f t="shared" si="37"/>
        <v>-0.18809950000000009</v>
      </c>
      <c r="AQ67" s="37">
        <f t="shared" si="37"/>
        <v>-5.2593100259319998</v>
      </c>
      <c r="AR67" s="10"/>
    </row>
    <row r="68" spans="2:44" s="3" customFormat="1">
      <c r="B68" s="36" t="s">
        <v>381</v>
      </c>
      <c r="C68" s="37" t="e">
        <f>+#REF!/1000</f>
        <v>#REF!</v>
      </c>
      <c r="D68" s="10"/>
      <c r="E68" s="59">
        <v>0</v>
      </c>
      <c r="F68" s="59">
        <v>0</v>
      </c>
      <c r="G68" s="59">
        <v>0</v>
      </c>
      <c r="H68" s="59" t="e">
        <f>IF(AND($F$7=VALUE($C$4),H$8=$C$8),$C68,0)</f>
        <v>#REF!</v>
      </c>
      <c r="I68" s="10"/>
      <c r="J68" s="59">
        <v>0</v>
      </c>
      <c r="K68" s="59">
        <v>0</v>
      </c>
      <c r="L68" s="59">
        <v>0</v>
      </c>
      <c r="M68" s="59">
        <v>0</v>
      </c>
      <c r="N68" s="10"/>
      <c r="O68" s="59">
        <v>0</v>
      </c>
      <c r="P68" s="59">
        <v>0</v>
      </c>
      <c r="Q68" s="59">
        <v>0</v>
      </c>
      <c r="R68" s="59">
        <v>0</v>
      </c>
      <c r="S68" s="10"/>
      <c r="T68" s="59">
        <v>0</v>
      </c>
      <c r="U68" s="59">
        <v>0</v>
      </c>
      <c r="V68" s="59">
        <v>0</v>
      </c>
      <c r="W68" s="59">
        <v>0</v>
      </c>
      <c r="X68" s="10"/>
      <c r="Y68" s="37">
        <f t="shared" si="30"/>
        <v>0</v>
      </c>
      <c r="Z68" s="37">
        <f t="shared" si="31"/>
        <v>0</v>
      </c>
      <c r="AA68" s="37">
        <f t="shared" si="31"/>
        <v>0</v>
      </c>
      <c r="AB68" s="37" t="e">
        <f t="shared" si="31"/>
        <v>#REF!</v>
      </c>
      <c r="AC68" s="10"/>
      <c r="AD68" s="37">
        <f t="shared" si="32"/>
        <v>0</v>
      </c>
      <c r="AE68" s="37">
        <f t="shared" si="33"/>
        <v>0</v>
      </c>
      <c r="AF68" s="37">
        <f t="shared" si="33"/>
        <v>0</v>
      </c>
      <c r="AG68" s="37">
        <f t="shared" si="33"/>
        <v>0</v>
      </c>
      <c r="AH68" s="10"/>
      <c r="AI68" s="37">
        <f t="shared" si="34"/>
        <v>0</v>
      </c>
      <c r="AJ68" s="37">
        <f t="shared" si="35"/>
        <v>0</v>
      </c>
      <c r="AK68" s="37">
        <f t="shared" si="35"/>
        <v>0</v>
      </c>
      <c r="AL68" s="37">
        <f t="shared" si="35"/>
        <v>0</v>
      </c>
      <c r="AM68" s="10"/>
      <c r="AN68" s="37">
        <f t="shared" si="36"/>
        <v>0</v>
      </c>
      <c r="AO68" s="37">
        <f t="shared" si="37"/>
        <v>0</v>
      </c>
      <c r="AP68" s="37">
        <f t="shared" si="37"/>
        <v>0</v>
      </c>
      <c r="AQ68" s="37">
        <f t="shared" si="37"/>
        <v>0</v>
      </c>
      <c r="AR68" s="10"/>
    </row>
    <row r="69" spans="2:44" s="3" customFormat="1">
      <c r="B69" s="36" t="s">
        <v>412</v>
      </c>
      <c r="C69" s="37" t="e">
        <f>+#REF!/1000</f>
        <v>#REF!</v>
      </c>
      <c r="D69" s="10"/>
      <c r="E69" s="41"/>
      <c r="F69" s="41"/>
      <c r="G69" s="41"/>
      <c r="H69" s="41"/>
      <c r="I69" s="10"/>
      <c r="J69" s="41">
        <v>0</v>
      </c>
      <c r="K69" s="41"/>
      <c r="L69" s="41"/>
      <c r="M69" s="41"/>
      <c r="N69" s="10"/>
      <c r="O69" s="59">
        <v>0</v>
      </c>
      <c r="P69" s="59">
        <v>1.4231698275210001</v>
      </c>
      <c r="Q69" s="59">
        <v>1.4366856858900001</v>
      </c>
      <c r="R69" s="59">
        <v>1.4338490242570001</v>
      </c>
      <c r="S69" s="10"/>
      <c r="T69" s="59">
        <v>0</v>
      </c>
      <c r="U69" s="59">
        <v>0</v>
      </c>
      <c r="V69" s="59">
        <v>0</v>
      </c>
      <c r="W69" s="59">
        <v>0</v>
      </c>
      <c r="X69" s="10"/>
      <c r="Y69" s="37">
        <f t="shared" si="30"/>
        <v>0</v>
      </c>
      <c r="Z69" s="37">
        <f t="shared" si="31"/>
        <v>0</v>
      </c>
      <c r="AA69" s="37">
        <f t="shared" si="31"/>
        <v>0</v>
      </c>
      <c r="AB69" s="37">
        <f t="shared" si="31"/>
        <v>0</v>
      </c>
      <c r="AC69" s="10"/>
      <c r="AD69" s="37">
        <f t="shared" si="32"/>
        <v>0</v>
      </c>
      <c r="AE69" s="37">
        <f t="shared" si="33"/>
        <v>0</v>
      </c>
      <c r="AF69" s="37">
        <f t="shared" si="33"/>
        <v>0</v>
      </c>
      <c r="AG69" s="37">
        <f t="shared" si="33"/>
        <v>0</v>
      </c>
      <c r="AH69" s="10"/>
      <c r="AI69" s="37">
        <f t="shared" si="34"/>
        <v>0</v>
      </c>
      <c r="AJ69" s="37">
        <f t="shared" si="35"/>
        <v>1.4231698275210001</v>
      </c>
      <c r="AK69" s="37">
        <f t="shared" si="35"/>
        <v>1.3515858369000044E-2</v>
      </c>
      <c r="AL69" s="37">
        <f t="shared" si="35"/>
        <v>-2.8366616330000038E-3</v>
      </c>
      <c r="AM69" s="10"/>
      <c r="AN69" s="37">
        <f t="shared" si="36"/>
        <v>0</v>
      </c>
      <c r="AO69" s="37">
        <f t="shared" si="37"/>
        <v>0</v>
      </c>
      <c r="AP69" s="37">
        <f t="shared" si="37"/>
        <v>0</v>
      </c>
      <c r="AQ69" s="37">
        <f t="shared" si="37"/>
        <v>0</v>
      </c>
      <c r="AR69" s="10"/>
    </row>
    <row r="70" spans="2:44" s="3" customFormat="1">
      <c r="B70" s="25" t="s">
        <v>382</v>
      </c>
      <c r="C70" s="26" t="e">
        <f>+#REF!/1000</f>
        <v>#REF!</v>
      </c>
      <c r="D70" s="10"/>
      <c r="E70" s="26">
        <v>-7.551595537499999</v>
      </c>
      <c r="F70" s="26">
        <v>-3.123748986799999</v>
      </c>
      <c r="G70" s="26">
        <v>-5.5024364839999995</v>
      </c>
      <c r="H70" s="26" t="e">
        <f>+H66+H67+H68+H69</f>
        <v>#REF!</v>
      </c>
      <c r="I70" s="10"/>
      <c r="J70" s="26">
        <v>-2.6718203873000004</v>
      </c>
      <c r="K70" s="26">
        <f>+K66+K67+K68+K69</f>
        <v>-41.0630629236</v>
      </c>
      <c r="L70" s="26">
        <f>+L66+L67+L68+L69</f>
        <v>-97.806839363500004</v>
      </c>
      <c r="M70" s="26">
        <v>-83.828553175799996</v>
      </c>
      <c r="N70" s="10"/>
      <c r="O70" s="26">
        <f t="shared" ref="O70:W70" si="38">+O66+O67+O68+O69</f>
        <v>-3.2419679999999995</v>
      </c>
      <c r="P70" s="26">
        <f t="shared" si="38"/>
        <v>-1.8037757724789996</v>
      </c>
      <c r="Q70" s="26">
        <f t="shared" si="38"/>
        <v>-1.8199383141099998</v>
      </c>
      <c r="R70" s="26">
        <f t="shared" si="38"/>
        <v>4.7616828567359999</v>
      </c>
      <c r="S70" s="10"/>
      <c r="T70" s="26">
        <f t="shared" si="38"/>
        <v>0.69549323359000015</v>
      </c>
      <c r="U70" s="26">
        <f t="shared" si="38"/>
        <v>3.6182104000000002</v>
      </c>
      <c r="V70" s="26">
        <f t="shared" si="38"/>
        <v>66.824250287254984</v>
      </c>
      <c r="W70" s="26">
        <f t="shared" si="38"/>
        <v>51.457294881479001</v>
      </c>
      <c r="X70" s="10"/>
      <c r="Y70" s="26">
        <f t="shared" si="30"/>
        <v>-7.551595537499999</v>
      </c>
      <c r="Z70" s="26">
        <f t="shared" si="31"/>
        <v>4.4278465507</v>
      </c>
      <c r="AA70" s="26">
        <f t="shared" si="31"/>
        <v>-2.3786874972000005</v>
      </c>
      <c r="AB70" s="26" t="e">
        <f t="shared" si="31"/>
        <v>#REF!</v>
      </c>
      <c r="AC70" s="10"/>
      <c r="AD70" s="26">
        <f t="shared" si="32"/>
        <v>-2.6718203873000004</v>
      </c>
      <c r="AE70" s="26">
        <f t="shared" si="33"/>
        <v>-38.391242536299998</v>
      </c>
      <c r="AF70" s="26">
        <f t="shared" si="33"/>
        <v>-56.743776439900003</v>
      </c>
      <c r="AG70" s="26">
        <f t="shared" si="33"/>
        <v>13.978286187700007</v>
      </c>
      <c r="AH70" s="10"/>
      <c r="AI70" s="26">
        <f t="shared" si="34"/>
        <v>-3.2419679999999995</v>
      </c>
      <c r="AJ70" s="26">
        <f t="shared" si="35"/>
        <v>1.438192227521</v>
      </c>
      <c r="AK70" s="26">
        <f t="shared" si="35"/>
        <v>-1.6162541631000282E-2</v>
      </c>
      <c r="AL70" s="26">
        <f t="shared" si="35"/>
        <v>6.5816211708459997</v>
      </c>
      <c r="AM70" s="10"/>
      <c r="AN70" s="26">
        <f t="shared" si="36"/>
        <v>0.69549323359000015</v>
      </c>
      <c r="AO70" s="26">
        <f t="shared" si="37"/>
        <v>2.92271716641</v>
      </c>
      <c r="AP70" s="26">
        <f t="shared" si="37"/>
        <v>63.206039887254981</v>
      </c>
      <c r="AQ70" s="26">
        <f t="shared" si="37"/>
        <v>-15.366955405775983</v>
      </c>
      <c r="AR70" s="10"/>
    </row>
    <row r="71" spans="2:44" s="3" customFormat="1">
      <c r="B71" s="28" t="s">
        <v>408</v>
      </c>
      <c r="C71" s="29" t="e">
        <f>+C65+C70</f>
        <v>#REF!</v>
      </c>
      <c r="D71" s="12"/>
      <c r="E71" s="29">
        <v>-53.090148804683494</v>
      </c>
      <c r="F71" s="29">
        <v>-84.508284316098297</v>
      </c>
      <c r="G71" s="29">
        <v>-113.513135708966</v>
      </c>
      <c r="H71" s="29" t="e">
        <f>+H65+H70</f>
        <v>#REF!</v>
      </c>
      <c r="I71" s="12"/>
      <c r="J71" s="29">
        <f>+J65+J70</f>
        <v>-73.484815611058991</v>
      </c>
      <c r="K71" s="29">
        <f>+K65+K70</f>
        <v>-200.52575038065598</v>
      </c>
      <c r="L71" s="29">
        <f>+L65+L70</f>
        <v>-306.328409156281</v>
      </c>
      <c r="M71" s="29">
        <v>-346.97600548596398</v>
      </c>
      <c r="N71" s="12"/>
      <c r="O71" s="29">
        <f>+O65+O70</f>
        <v>-51.569429125083964</v>
      </c>
      <c r="P71" s="29">
        <f>+P65+P70</f>
        <v>-71.520433638189004</v>
      </c>
      <c r="Q71" s="29">
        <f>+Q65+Q70</f>
        <v>-107.32675915485001</v>
      </c>
      <c r="R71" s="29">
        <f>+R65+R70</f>
        <v>-174.59245921687989</v>
      </c>
      <c r="S71" s="12"/>
      <c r="T71" s="29">
        <f>+T65+T70</f>
        <v>-30.508251723512004</v>
      </c>
      <c r="U71" s="29">
        <f>+U65+U70</f>
        <v>-76.531126240364003</v>
      </c>
      <c r="V71" s="29">
        <f>+V65+V70</f>
        <v>-25.68753767159302</v>
      </c>
      <c r="W71" s="29">
        <f>+W65+W70</f>
        <v>-67.97825428821298</v>
      </c>
      <c r="X71" s="12"/>
      <c r="Y71" s="29">
        <f t="shared" si="30"/>
        <v>-53.090148804683494</v>
      </c>
      <c r="Z71" s="29">
        <f t="shared" si="31"/>
        <v>-31.418135511414803</v>
      </c>
      <c r="AA71" s="29">
        <f t="shared" si="31"/>
        <v>-29.004851392867707</v>
      </c>
      <c r="AB71" s="29" t="e">
        <f t="shared" si="31"/>
        <v>#REF!</v>
      </c>
      <c r="AC71" s="12"/>
      <c r="AD71" s="29">
        <f t="shared" si="32"/>
        <v>-73.484815611058991</v>
      </c>
      <c r="AE71" s="29">
        <f t="shared" si="33"/>
        <v>-127.04093476959699</v>
      </c>
      <c r="AF71" s="29">
        <f t="shared" si="33"/>
        <v>-105.80265877562502</v>
      </c>
      <c r="AG71" s="29">
        <f t="shared" si="33"/>
        <v>-40.647596329682983</v>
      </c>
      <c r="AH71" s="12"/>
      <c r="AI71" s="29">
        <f t="shared" si="34"/>
        <v>-51.569429125083964</v>
      </c>
      <c r="AJ71" s="29">
        <f t="shared" si="35"/>
        <v>-19.95100451310504</v>
      </c>
      <c r="AK71" s="29">
        <f t="shared" si="35"/>
        <v>-35.806325516661005</v>
      </c>
      <c r="AL71" s="29">
        <f t="shared" si="35"/>
        <v>-67.265700062029879</v>
      </c>
      <c r="AM71" s="12"/>
      <c r="AN71" s="29">
        <f t="shared" si="36"/>
        <v>-30.508251723512004</v>
      </c>
      <c r="AO71" s="29">
        <f t="shared" si="37"/>
        <v>-46.022874516851999</v>
      </c>
      <c r="AP71" s="29">
        <f t="shared" si="37"/>
        <v>50.843588568770983</v>
      </c>
      <c r="AQ71" s="29">
        <f t="shared" si="37"/>
        <v>-42.29071661661996</v>
      </c>
      <c r="AR71" s="12"/>
    </row>
    <row r="72" spans="2:44" s="3" customFormat="1">
      <c r="B72" s="39" t="s">
        <v>417</v>
      </c>
      <c r="C72" s="32" t="e">
        <f>+#REF!/1000</f>
        <v>#REF!</v>
      </c>
      <c r="D72" s="10"/>
      <c r="E72" s="60">
        <v>-1.495580186275</v>
      </c>
      <c r="F72" s="60">
        <v>-3.0211729097200002</v>
      </c>
      <c r="G72" s="60">
        <v>-4.2425724575199997</v>
      </c>
      <c r="H72" s="60" t="e">
        <f>IF(AND($F$7=VALUE($C$4),H$8=$C$8),$C72,0)</f>
        <v>#REF!</v>
      </c>
      <c r="I72" s="10"/>
      <c r="J72" s="60">
        <v>-6.2557482413820003</v>
      </c>
      <c r="K72" s="60">
        <v>-12.969729028024</v>
      </c>
      <c r="L72" s="60">
        <v>-13.848170087971001</v>
      </c>
      <c r="M72" s="60">
        <v>-17.525993159400002</v>
      </c>
      <c r="N72" s="10"/>
      <c r="O72" s="60">
        <v>-2.4973908914399998</v>
      </c>
      <c r="P72" s="60">
        <v>-4.3426880861159995</v>
      </c>
      <c r="Q72" s="60">
        <v>-8.759979465759999</v>
      </c>
      <c r="R72" s="60">
        <v>-13.198937547144</v>
      </c>
      <c r="S72" s="10"/>
      <c r="T72" s="60">
        <v>-4.2721442508199994</v>
      </c>
      <c r="U72" s="60">
        <v>-8.3747777554800003</v>
      </c>
      <c r="V72" s="60">
        <v>-11.622657196324001</v>
      </c>
      <c r="W72" s="60">
        <v>-12.467156390354999</v>
      </c>
      <c r="X72" s="10"/>
      <c r="Y72" s="32">
        <f t="shared" si="30"/>
        <v>-1.495580186275</v>
      </c>
      <c r="Z72" s="32">
        <f t="shared" si="31"/>
        <v>-1.5255927234450002</v>
      </c>
      <c r="AA72" s="32">
        <f t="shared" si="31"/>
        <v>-1.2213995477999995</v>
      </c>
      <c r="AB72" s="32" t="e">
        <f t="shared" si="31"/>
        <v>#REF!</v>
      </c>
      <c r="AC72" s="10"/>
      <c r="AD72" s="32">
        <f t="shared" si="32"/>
        <v>-6.2557482413820003</v>
      </c>
      <c r="AE72" s="32">
        <f t="shared" si="33"/>
        <v>-6.7139807866419998</v>
      </c>
      <c r="AF72" s="32">
        <f t="shared" si="33"/>
        <v>-0.87844105994700072</v>
      </c>
      <c r="AG72" s="32">
        <f t="shared" si="33"/>
        <v>-3.6778230714290014</v>
      </c>
      <c r="AH72" s="10"/>
      <c r="AI72" s="32">
        <f t="shared" si="34"/>
        <v>-2.4973908914399998</v>
      </c>
      <c r="AJ72" s="32">
        <f t="shared" si="35"/>
        <v>-1.8452971946759997</v>
      </c>
      <c r="AK72" s="32">
        <f t="shared" si="35"/>
        <v>-4.4172913796439994</v>
      </c>
      <c r="AL72" s="32">
        <f t="shared" si="35"/>
        <v>-4.4389580813840013</v>
      </c>
      <c r="AM72" s="10"/>
      <c r="AN72" s="32">
        <f t="shared" si="36"/>
        <v>-4.2721442508199994</v>
      </c>
      <c r="AO72" s="32">
        <f t="shared" si="37"/>
        <v>-4.1026335046600009</v>
      </c>
      <c r="AP72" s="32">
        <f t="shared" si="37"/>
        <v>-3.2478794408440006</v>
      </c>
      <c r="AQ72" s="32">
        <f t="shared" si="37"/>
        <v>-0.84449919403099827</v>
      </c>
      <c r="AR72" s="10"/>
    </row>
    <row r="73" spans="2:44" s="3" customFormat="1">
      <c r="B73" s="54" t="s">
        <v>8</v>
      </c>
      <c r="C73" s="26" t="e">
        <f>+#REF!/1000</f>
        <v>#REF!</v>
      </c>
      <c r="D73" s="10"/>
      <c r="E73" s="61">
        <v>2.8366808925000001E-2</v>
      </c>
      <c r="F73" s="61">
        <v>-7.7716800000052899E-7</v>
      </c>
      <c r="G73" s="61">
        <v>-9.4007250824399993</v>
      </c>
      <c r="H73" s="61" t="e">
        <f>IF(AND($F$7=VALUE($C$4),H$8=$C$8),$C73,0)</f>
        <v>#REF!</v>
      </c>
      <c r="I73" s="10"/>
      <c r="J73" s="61">
        <v>-2.1512593299999998</v>
      </c>
      <c r="K73" s="61">
        <v>0</v>
      </c>
      <c r="L73" s="61">
        <v>-122.03011395999999</v>
      </c>
      <c r="M73" s="61">
        <v>-146.634197611074</v>
      </c>
      <c r="N73" s="10"/>
      <c r="O73" s="61">
        <v>0</v>
      </c>
      <c r="P73" s="61">
        <v>0</v>
      </c>
      <c r="Q73" s="61">
        <v>0</v>
      </c>
      <c r="R73" s="61">
        <v>0</v>
      </c>
      <c r="S73" s="10"/>
      <c r="T73" s="61">
        <v>0</v>
      </c>
      <c r="U73" s="61">
        <v>0</v>
      </c>
      <c r="V73" s="61">
        <v>0</v>
      </c>
      <c r="W73" s="61">
        <v>-0.641062631223</v>
      </c>
      <c r="X73" s="10"/>
      <c r="Y73" s="26">
        <f t="shared" si="30"/>
        <v>2.8366808925000001E-2</v>
      </c>
      <c r="Z73" s="26">
        <f t="shared" si="31"/>
        <v>-2.8367586093E-2</v>
      </c>
      <c r="AA73" s="26">
        <f t="shared" si="31"/>
        <v>-9.400724305272</v>
      </c>
      <c r="AB73" s="26" t="e">
        <f t="shared" si="31"/>
        <v>#REF!</v>
      </c>
      <c r="AC73" s="10"/>
      <c r="AD73" s="26">
        <f t="shared" si="32"/>
        <v>-2.1512593299999998</v>
      </c>
      <c r="AE73" s="26">
        <f t="shared" si="33"/>
        <v>2.1512593299999998</v>
      </c>
      <c r="AF73" s="26">
        <f t="shared" si="33"/>
        <v>-122.03011395999999</v>
      </c>
      <c r="AG73" s="26">
        <f t="shared" si="33"/>
        <v>-24.604083651074006</v>
      </c>
      <c r="AH73" s="10"/>
      <c r="AI73" s="26">
        <f t="shared" si="34"/>
        <v>0</v>
      </c>
      <c r="AJ73" s="26">
        <f t="shared" si="35"/>
        <v>0</v>
      </c>
      <c r="AK73" s="26">
        <f t="shared" si="35"/>
        <v>0</v>
      </c>
      <c r="AL73" s="26">
        <f t="shared" si="35"/>
        <v>0</v>
      </c>
      <c r="AM73" s="10"/>
      <c r="AN73" s="26">
        <f t="shared" si="36"/>
        <v>0</v>
      </c>
      <c r="AO73" s="26">
        <f t="shared" si="37"/>
        <v>0</v>
      </c>
      <c r="AP73" s="26">
        <f t="shared" si="37"/>
        <v>0</v>
      </c>
      <c r="AQ73" s="26">
        <f t="shared" si="37"/>
        <v>-0.641062631223</v>
      </c>
      <c r="AR73" s="10"/>
    </row>
    <row r="74" spans="2:44" s="3" customFormat="1">
      <c r="B74" s="28" t="s">
        <v>407</v>
      </c>
      <c r="C74" s="29" t="e">
        <f>+C71+C72+C73</f>
        <v>#REF!</v>
      </c>
      <c r="D74" s="12"/>
      <c r="E74" s="29">
        <v>-54.557362182033494</v>
      </c>
      <c r="F74" s="29">
        <v>-87.529458002986289</v>
      </c>
      <c r="G74" s="29">
        <v>-127.15643324892601</v>
      </c>
      <c r="H74" s="29" t="e">
        <f>+H71+H72+H73</f>
        <v>#REF!</v>
      </c>
      <c r="I74" s="12"/>
      <c r="J74" s="29">
        <f>+J71+J72+J73</f>
        <v>-81.891823182440987</v>
      </c>
      <c r="K74" s="29">
        <f>+K71+K72+K73</f>
        <v>-213.49547940867998</v>
      </c>
      <c r="L74" s="29">
        <f>+L71+L72+L73</f>
        <v>-442.20669320425202</v>
      </c>
      <c r="M74" s="29">
        <v>-511.13619625643798</v>
      </c>
      <c r="N74" s="12"/>
      <c r="O74" s="29">
        <f>+O71+O72+O73</f>
        <v>-54.066820016523963</v>
      </c>
      <c r="P74" s="29">
        <f>+P71+P72+P73</f>
        <v>-75.863121724305003</v>
      </c>
      <c r="Q74" s="29">
        <f>+Q71+Q72+Q73</f>
        <v>-116.08673862061001</v>
      </c>
      <c r="R74" s="29">
        <f>+R71+R72+R73</f>
        <v>-187.79139676402389</v>
      </c>
      <c r="S74" s="12"/>
      <c r="T74" s="29">
        <f>+T71+T72+T73</f>
        <v>-34.780395974332002</v>
      </c>
      <c r="U74" s="29">
        <f>+U71+U72+U73</f>
        <v>-84.905903995844</v>
      </c>
      <c r="V74" s="29">
        <f>+V71+V72+V73</f>
        <v>-37.310194867917019</v>
      </c>
      <c r="W74" s="29">
        <f>+W71+W72+W73</f>
        <v>-81.086473309790975</v>
      </c>
      <c r="X74" s="12"/>
      <c r="Y74" s="29">
        <f t="shared" si="30"/>
        <v>-54.557362182033494</v>
      </c>
      <c r="Z74" s="29">
        <f t="shared" si="31"/>
        <v>-32.972095820952795</v>
      </c>
      <c r="AA74" s="29">
        <f t="shared" si="31"/>
        <v>-39.626975245939718</v>
      </c>
      <c r="AB74" s="29" t="e">
        <f t="shared" si="31"/>
        <v>#REF!</v>
      </c>
      <c r="AC74" s="12"/>
      <c r="AD74" s="29">
        <f t="shared" si="32"/>
        <v>-81.891823182440987</v>
      </c>
      <c r="AE74" s="29">
        <f t="shared" si="33"/>
        <v>-131.603656226239</v>
      </c>
      <c r="AF74" s="29">
        <f t="shared" si="33"/>
        <v>-228.71121379557204</v>
      </c>
      <c r="AG74" s="29">
        <f t="shared" si="33"/>
        <v>-68.929503052185964</v>
      </c>
      <c r="AH74" s="12"/>
      <c r="AI74" s="29">
        <f t="shared" si="34"/>
        <v>-54.066820016523963</v>
      </c>
      <c r="AJ74" s="29">
        <f t="shared" si="35"/>
        <v>-21.796301707781041</v>
      </c>
      <c r="AK74" s="29">
        <f t="shared" si="35"/>
        <v>-40.223616896305003</v>
      </c>
      <c r="AL74" s="29">
        <f t="shared" si="35"/>
        <v>-71.70465814341388</v>
      </c>
      <c r="AM74" s="12"/>
      <c r="AN74" s="29">
        <f t="shared" si="36"/>
        <v>-34.780395974332002</v>
      </c>
      <c r="AO74" s="29">
        <f t="shared" si="37"/>
        <v>-50.125508021511997</v>
      </c>
      <c r="AP74" s="29">
        <f t="shared" si="37"/>
        <v>47.59570912792698</v>
      </c>
      <c r="AQ74" s="29">
        <f t="shared" si="37"/>
        <v>-43.776278441873956</v>
      </c>
      <c r="AR74" s="12"/>
    </row>
    <row r="75" spans="2:44" s="3" customFormat="1">
      <c r="B75" s="31" t="s">
        <v>383</v>
      </c>
      <c r="C75" s="32" t="e">
        <f>#REF!/1000</f>
        <v>#REF!</v>
      </c>
      <c r="D75" s="10"/>
      <c r="E75" s="60">
        <v>-162.36185366355102</v>
      </c>
      <c r="F75" s="60">
        <v>-383.99419348499106</v>
      </c>
      <c r="G75" s="60">
        <v>-623.26722965091005</v>
      </c>
      <c r="H75" s="60" t="e">
        <f>IF(AND($F$7=VALUE($C$4),H$8=$C$8),$C75,0)</f>
        <v>#REF!</v>
      </c>
      <c r="I75" s="10"/>
      <c r="J75" s="60">
        <v>0</v>
      </c>
      <c r="K75" s="60">
        <v>3.206</v>
      </c>
      <c r="L75" s="60">
        <v>3.2559999999999998</v>
      </c>
      <c r="M75" s="60">
        <v>-24.901443600000004</v>
      </c>
      <c r="N75" s="10"/>
      <c r="O75" s="60">
        <v>-1.8048502100000001</v>
      </c>
      <c r="P75" s="60">
        <v>-1.7910214599999998</v>
      </c>
      <c r="Q75" s="60">
        <v>-1.80206146</v>
      </c>
      <c r="R75" s="60">
        <v>-1.8529740636363599</v>
      </c>
      <c r="S75" s="10"/>
      <c r="T75" s="60">
        <v>0</v>
      </c>
      <c r="U75" s="60">
        <v>-1.5666099999999998</v>
      </c>
      <c r="V75" s="60">
        <v>-1.7265255212499999</v>
      </c>
      <c r="W75" s="60">
        <v>-1.9003800000000002</v>
      </c>
      <c r="X75" s="10"/>
      <c r="Y75" s="32">
        <f t="shared" si="30"/>
        <v>-162.36185366355102</v>
      </c>
      <c r="Z75" s="32">
        <f t="shared" si="31"/>
        <v>-221.63233982144004</v>
      </c>
      <c r="AA75" s="32">
        <f t="shared" si="31"/>
        <v>-239.273036165919</v>
      </c>
      <c r="AB75" s="32" t="e">
        <f t="shared" si="31"/>
        <v>#REF!</v>
      </c>
      <c r="AC75" s="10"/>
      <c r="AD75" s="32">
        <f t="shared" si="32"/>
        <v>0</v>
      </c>
      <c r="AE75" s="32">
        <f t="shared" si="33"/>
        <v>3.206</v>
      </c>
      <c r="AF75" s="32">
        <f t="shared" si="33"/>
        <v>4.9999999999999822E-2</v>
      </c>
      <c r="AG75" s="32">
        <f t="shared" si="33"/>
        <v>-28.157443600000004</v>
      </c>
      <c r="AH75" s="10"/>
      <c r="AI75" s="32">
        <f t="shared" si="34"/>
        <v>-1.8048502100000001</v>
      </c>
      <c r="AJ75" s="32">
        <f t="shared" si="35"/>
        <v>1.3828750000000278E-2</v>
      </c>
      <c r="AK75" s="32">
        <f t="shared" si="35"/>
        <v>-1.1040000000000161E-2</v>
      </c>
      <c r="AL75" s="32">
        <f t="shared" si="35"/>
        <v>-5.0912603636359854E-2</v>
      </c>
      <c r="AM75" s="10"/>
      <c r="AN75" s="32">
        <f t="shared" si="36"/>
        <v>0</v>
      </c>
      <c r="AO75" s="32">
        <f t="shared" si="37"/>
        <v>-1.5666099999999998</v>
      </c>
      <c r="AP75" s="32">
        <f t="shared" si="37"/>
        <v>-0.15991552125000008</v>
      </c>
      <c r="AQ75" s="32">
        <f t="shared" si="37"/>
        <v>-0.17385447875000026</v>
      </c>
      <c r="AR75" s="10"/>
    </row>
    <row r="76" spans="2:44" s="3" customFormat="1">
      <c r="B76" s="25" t="s">
        <v>321</v>
      </c>
      <c r="C76" s="26" t="e">
        <f>#REF!/1000</f>
        <v>#REF!</v>
      </c>
      <c r="D76" s="10"/>
      <c r="E76" s="61">
        <v>-3.7162947921150002</v>
      </c>
      <c r="F76" s="61">
        <v>-16.333824071597</v>
      </c>
      <c r="G76" s="61">
        <v>-5.4775024521929998</v>
      </c>
      <c r="H76" s="61" t="e">
        <f>IF(AND($F$7=VALUE($C$4),H$8=$C$8),$C76,0)</f>
        <v>#REF!</v>
      </c>
      <c r="I76" s="10"/>
      <c r="J76" s="61">
        <v>-1.9699489680329998</v>
      </c>
      <c r="K76" s="61">
        <v>-1.6357638926760001</v>
      </c>
      <c r="L76" s="61">
        <v>-4.1676351892670001</v>
      </c>
      <c r="M76" s="61">
        <v>-4.8252347248080003</v>
      </c>
      <c r="N76" s="10"/>
      <c r="O76" s="61">
        <v>-4.2594294460000202E-2</v>
      </c>
      <c r="P76" s="61">
        <v>-1.3019343272749999</v>
      </c>
      <c r="Q76" s="61">
        <v>-6.8795759511900005</v>
      </c>
      <c r="R76" s="61">
        <v>-6.8670842769889999</v>
      </c>
      <c r="S76" s="10"/>
      <c r="T76" s="61">
        <v>0.32612867619999997</v>
      </c>
      <c r="U76" s="61">
        <v>0.86088325051199999</v>
      </c>
      <c r="V76" s="61">
        <v>1.6525363077940001</v>
      </c>
      <c r="W76" s="61">
        <v>1.413077233364</v>
      </c>
      <c r="X76" s="10"/>
      <c r="Y76" s="26">
        <f t="shared" si="30"/>
        <v>-3.7162947921150002</v>
      </c>
      <c r="Z76" s="26">
        <f t="shared" si="31"/>
        <v>-12.617529279482</v>
      </c>
      <c r="AA76" s="26">
        <f t="shared" si="31"/>
        <v>10.856321619404</v>
      </c>
      <c r="AB76" s="26" t="e">
        <f t="shared" si="31"/>
        <v>#REF!</v>
      </c>
      <c r="AC76" s="10"/>
      <c r="AD76" s="26">
        <f t="shared" si="32"/>
        <v>-1.9699489680329998</v>
      </c>
      <c r="AE76" s="26">
        <f t="shared" si="33"/>
        <v>0.33418507535699971</v>
      </c>
      <c r="AF76" s="26">
        <f t="shared" si="33"/>
        <v>-2.531871296591</v>
      </c>
      <c r="AG76" s="26">
        <f t="shared" si="33"/>
        <v>-0.65759953554100026</v>
      </c>
      <c r="AH76" s="10"/>
      <c r="AI76" s="26">
        <f t="shared" si="34"/>
        <v>-4.2594294460000202E-2</v>
      </c>
      <c r="AJ76" s="26">
        <f t="shared" si="35"/>
        <v>-1.2593400328149997</v>
      </c>
      <c r="AK76" s="26">
        <f t="shared" si="35"/>
        <v>-5.5776416239150004</v>
      </c>
      <c r="AL76" s="26">
        <f t="shared" si="35"/>
        <v>1.2491674201000613E-2</v>
      </c>
      <c r="AM76" s="10"/>
      <c r="AN76" s="26">
        <f t="shared" si="36"/>
        <v>0.32612867619999997</v>
      </c>
      <c r="AO76" s="26">
        <f t="shared" si="37"/>
        <v>0.53475457431200002</v>
      </c>
      <c r="AP76" s="26">
        <f t="shared" si="37"/>
        <v>0.79165305728200008</v>
      </c>
      <c r="AQ76" s="26">
        <f t="shared" si="37"/>
        <v>-0.23945907443000003</v>
      </c>
      <c r="AR76" s="10"/>
    </row>
    <row r="77" spans="2:44" s="3" customFormat="1">
      <c r="B77" s="28" t="s">
        <v>384</v>
      </c>
      <c r="C77" s="29" t="e">
        <f>SUM(C74:C76)</f>
        <v>#REF!</v>
      </c>
      <c r="D77" s="12"/>
      <c r="E77" s="29">
        <v>-220.63551063769953</v>
      </c>
      <c r="F77" s="29">
        <v>-487.85747555957437</v>
      </c>
      <c r="G77" s="29">
        <v>-755.90116535202901</v>
      </c>
      <c r="H77" s="29" t="e">
        <f>SUM(H74:H76)</f>
        <v>#REF!</v>
      </c>
      <c r="I77" s="12"/>
      <c r="J77" s="29">
        <f>SUM(J74:J76)</f>
        <v>-83.861772150473982</v>
      </c>
      <c r="K77" s="29">
        <f>SUM(K74:K76)</f>
        <v>-211.92524330135601</v>
      </c>
      <c r="L77" s="29">
        <f>SUM(L74:L76)</f>
        <v>-443.11832839351905</v>
      </c>
      <c r="M77" s="29">
        <v>-540.86287458124593</v>
      </c>
      <c r="N77" s="12"/>
      <c r="O77" s="29">
        <f>SUM(O74:O76)</f>
        <v>-55.914264520983963</v>
      </c>
      <c r="P77" s="29">
        <f>SUM(P74:P76)</f>
        <v>-78.956077511580006</v>
      </c>
      <c r="Q77" s="29">
        <f>SUM(Q74:Q76)</f>
        <v>-124.76837603180002</v>
      </c>
      <c r="R77" s="29">
        <f>SUM(R74:R76)</f>
        <v>-196.51145510464926</v>
      </c>
      <c r="S77" s="12"/>
      <c r="T77" s="29">
        <f>SUM(T74:T76)</f>
        <v>-34.454267298132002</v>
      </c>
      <c r="U77" s="29">
        <f>SUM(U74:U76)</f>
        <v>-85.611630745331993</v>
      </c>
      <c r="V77" s="29">
        <f>SUM(V74:V76)</f>
        <v>-37.384184081373014</v>
      </c>
      <c r="W77" s="29">
        <f>SUM(W74:W76)</f>
        <v>-81.573776076426967</v>
      </c>
      <c r="X77" s="12"/>
      <c r="Y77" s="29">
        <f t="shared" si="30"/>
        <v>-220.63551063769953</v>
      </c>
      <c r="Z77" s="29">
        <f t="shared" si="31"/>
        <v>-267.22196492187481</v>
      </c>
      <c r="AA77" s="29">
        <f t="shared" si="31"/>
        <v>-268.04368979245464</v>
      </c>
      <c r="AB77" s="29" t="e">
        <f t="shared" si="31"/>
        <v>#REF!</v>
      </c>
      <c r="AC77" s="12"/>
      <c r="AD77" s="29">
        <f t="shared" si="32"/>
        <v>-83.861772150473982</v>
      </c>
      <c r="AE77" s="29">
        <f t="shared" si="33"/>
        <v>-128.06347115088204</v>
      </c>
      <c r="AF77" s="29">
        <f t="shared" si="33"/>
        <v>-231.19308509216305</v>
      </c>
      <c r="AG77" s="29">
        <f t="shared" si="33"/>
        <v>-97.744546187726883</v>
      </c>
      <c r="AH77" s="12"/>
      <c r="AI77" s="29">
        <f t="shared" si="34"/>
        <v>-55.914264520983963</v>
      </c>
      <c r="AJ77" s="29">
        <f t="shared" si="35"/>
        <v>-23.041812990596043</v>
      </c>
      <c r="AK77" s="29">
        <f t="shared" si="35"/>
        <v>-45.812298520220011</v>
      </c>
      <c r="AL77" s="29">
        <f t="shared" si="35"/>
        <v>-71.743079072849241</v>
      </c>
      <c r="AM77" s="12"/>
      <c r="AN77" s="29">
        <f t="shared" si="36"/>
        <v>-34.454267298132002</v>
      </c>
      <c r="AO77" s="29">
        <f t="shared" si="37"/>
        <v>-51.157363447199991</v>
      </c>
      <c r="AP77" s="29">
        <f t="shared" si="37"/>
        <v>48.227446663958979</v>
      </c>
      <c r="AQ77" s="29">
        <f t="shared" si="37"/>
        <v>-44.189591995053952</v>
      </c>
      <c r="AR77" s="12"/>
    </row>
    <row r="78" spans="2:44" s="3" customFormat="1">
      <c r="B78" s="7"/>
      <c r="C78" s="7"/>
      <c r="D78" s="10"/>
      <c r="E78" s="73"/>
      <c r="F78" s="73"/>
      <c r="G78" s="73"/>
      <c r="H78" s="73"/>
      <c r="I78" s="10"/>
      <c r="J78" s="73"/>
      <c r="K78" s="73"/>
      <c r="L78" s="73"/>
      <c r="M78" s="73"/>
      <c r="N78" s="10"/>
      <c r="O78" s="73"/>
      <c r="P78" s="73"/>
      <c r="Q78" s="73"/>
      <c r="R78" s="73"/>
      <c r="S78" s="10"/>
      <c r="T78" s="7"/>
      <c r="U78" s="7"/>
      <c r="V78" s="7"/>
      <c r="W78" s="7"/>
      <c r="X78" s="10"/>
      <c r="Y78" s="7"/>
      <c r="Z78" s="7"/>
      <c r="AA78" s="7"/>
      <c r="AB78" s="7"/>
      <c r="AC78" s="10"/>
      <c r="AD78" s="7"/>
      <c r="AE78" s="7"/>
      <c r="AF78" s="7"/>
      <c r="AG78" s="7"/>
      <c r="AH78" s="10"/>
      <c r="AI78" s="7"/>
      <c r="AJ78" s="7"/>
      <c r="AK78" s="7"/>
      <c r="AL78" s="7"/>
      <c r="AM78" s="10"/>
      <c r="AN78" s="7"/>
      <c r="AO78" s="7"/>
      <c r="AP78" s="7"/>
      <c r="AQ78" s="7"/>
      <c r="AR78" s="10"/>
    </row>
    <row r="79" spans="2:44" s="3" customFormat="1">
      <c r="B79" s="34" t="s">
        <v>385</v>
      </c>
      <c r="C79" s="40" t="str">
        <f>IF(ISERROR(C65/C64*100)," ",C65/C64*100)</f>
        <v xml:space="preserve"> </v>
      </c>
      <c r="D79" s="10"/>
      <c r="E79" s="76">
        <v>-29.386071143310584</v>
      </c>
      <c r="F79" s="76">
        <v>-24.091866480445294</v>
      </c>
      <c r="G79" s="76">
        <v>-21.04635837746233</v>
      </c>
      <c r="H79" s="76" t="str">
        <f>IF(ISERROR(H65/H64*100)," ",H65/H64*100)</f>
        <v xml:space="preserve"> </v>
      </c>
      <c r="I79" s="10"/>
      <c r="J79" s="76">
        <f>IF(ISERROR(J65/J64*100)," ",J65/J64*100)</f>
        <v>-58.00772856839744</v>
      </c>
      <c r="K79" s="76">
        <f>IF(ISERROR(K65/K64*100)," ",K65/K64*100)</f>
        <v>-60.681273061644113</v>
      </c>
      <c r="L79" s="76">
        <f>IF(ISERROR(L65/L64*100)," ",L65/L64*100)</f>
        <v>-53.306983929199973</v>
      </c>
      <c r="M79" s="76">
        <v>-47.294147098123211</v>
      </c>
      <c r="N79" s="10"/>
      <c r="O79" s="76">
        <f>IF(ISERROR(O65/O64*100)," ",O65/O64*100)</f>
        <v>-43.672725594222193</v>
      </c>
      <c r="P79" s="76">
        <f>IF(ISERROR(P65/P64*100)," ",P65/P64*100)</f>
        <v>-30.751540640565132</v>
      </c>
      <c r="Q79" s="76">
        <f>IF(ISERROR(Q65/Q64*100)," ",Q65/Q64*100)</f>
        <v>-31.701157308801619</v>
      </c>
      <c r="R79" s="76">
        <f>IF(ISERROR(R65/R64*100)," ",R65/R64*100)</f>
        <v>-40.056534878084214</v>
      </c>
      <c r="S79" s="10"/>
      <c r="T79" s="76">
        <f>IF(ISERROR(T65/T64*100)," ",T65/T64*100)</f>
        <v>-43.38479628539865</v>
      </c>
      <c r="U79" s="76">
        <f>IF(ISERROR(U65/U64*100)," ",U65/U64*100)</f>
        <v>-56.661494784059173</v>
      </c>
      <c r="V79" s="76">
        <f>IF(ISERROR(V65/V64*100)," ",V65/V64*100)</f>
        <v>-38.823319862057701</v>
      </c>
      <c r="W79" s="76">
        <f>IF(ISERROR(W65/W64*100)," ",W65/W64*100)</f>
        <v>-33.013307458230322</v>
      </c>
      <c r="X79" s="10"/>
      <c r="Y79" s="40">
        <f>IF(ISERROR(Y65/Y64*100)," ",Y65/Y64*100)</f>
        <v>-29.386071143310584</v>
      </c>
      <c r="Z79" s="40">
        <f>IF(ISERROR(Z65/Z64*100)," ",Z65/Z64*100)</f>
        <v>-19.604818003186537</v>
      </c>
      <c r="AA79" s="40">
        <f>IF(ISERROR(AA65/AA64*100)," ",AA65/AA64*100)</f>
        <v>-15.18072307631922</v>
      </c>
      <c r="AB79" s="40" t="str">
        <f>IF(ISERROR(AB65/AB64*100)," ",AB65/AB64*100)</f>
        <v xml:space="preserve"> </v>
      </c>
      <c r="AC79" s="10"/>
      <c r="AD79" s="40">
        <f>IF(ISERROR(AD65/AD64*100)," ",AD65/AD64*100)</f>
        <v>-58.00772856839744</v>
      </c>
      <c r="AE79" s="40">
        <f>IF(ISERROR(AE65/AE64*100)," ",AE65/AE64*100)</f>
        <v>-63.000710903226178</v>
      </c>
      <c r="AF79" s="40">
        <f>IF(ISERROR(AF65/AF64*100)," ",AF65/AF64*100)</f>
        <v>-38.212647254838714</v>
      </c>
      <c r="AG79" s="40">
        <f>IF(ISERROR(AG65/AG64*100)," ",AG65/AG64*100)</f>
        <v>-33.059559498570223</v>
      </c>
      <c r="AH79" s="10"/>
      <c r="AI79" s="40">
        <f>IF(ISERROR(AI65/AI64*100)," ",AI65/AI64*100)</f>
        <v>-43.672725594222193</v>
      </c>
      <c r="AJ79" s="40">
        <f>IF(ISERROR(AJ65/AJ64*100)," ",AJ65/AJ64*100)</f>
        <v>-18.430818328724577</v>
      </c>
      <c r="AK79" s="40">
        <f>IF(ISERROR(AK65/AK64*100)," ",AK65/AK64*100)</f>
        <v>-33.730110847336327</v>
      </c>
      <c r="AL79" s="40">
        <f>IF(ISERROR(AL65/AL64*100)," ",AL65/AL64*100)</f>
        <v>-64.251055355761906</v>
      </c>
      <c r="AM79" s="10"/>
      <c r="AN79" s="40">
        <f>IF(ISERROR(AN65/AN64*100)," ",AN65/AN64*100)</f>
        <v>-43.38479628539865</v>
      </c>
      <c r="AO79" s="40">
        <f>IF(ISERROR(AO65/AO64*100)," ",AO65/AO64*100)</f>
        <v>-70.395239007777349</v>
      </c>
      <c r="AP79" s="40">
        <f>IF(ISERROR(AP65/AP64*100)," ",AP65/AP64*100)</f>
        <v>-12.766338855842646</v>
      </c>
      <c r="AQ79" s="40">
        <f>IF(ISERROR(AQ65/AQ64*100)," ",AQ65/AQ64*100)</f>
        <v>-21.802241973024714</v>
      </c>
      <c r="AR79" s="10"/>
    </row>
    <row r="80" spans="2:44" s="3" customFormat="1">
      <c r="B80" s="36" t="s">
        <v>389</v>
      </c>
      <c r="C80" s="55" t="str">
        <f>IF(ISERROR(C71/C64*100)," ",C71/C64*100)</f>
        <v xml:space="preserve"> </v>
      </c>
      <c r="D80" s="10"/>
      <c r="E80" s="77">
        <v>-34.259122827857581</v>
      </c>
      <c r="F80" s="77">
        <v>-25.016574635427158</v>
      </c>
      <c r="G80" s="77">
        <v>-22.118532254887981</v>
      </c>
      <c r="H80" s="77" t="str">
        <f>IF(ISERROR(H71/H64*100)," ",H71/H64*100)</f>
        <v xml:space="preserve"> </v>
      </c>
      <c r="I80" s="10"/>
      <c r="J80" s="77">
        <f>IF(ISERROR(J71/J64*100)," ",J71/J64*100)</f>
        <v>-60.196397912495584</v>
      </c>
      <c r="K80" s="77">
        <f>IF(ISERROR(K71/K64*100)," ",K71/K64*100)</f>
        <v>-76.307241579737024</v>
      </c>
      <c r="L80" s="77">
        <f>IF(ISERROR(L71/L64*100)," ",L71/L64*100)</f>
        <v>-78.310572859098954</v>
      </c>
      <c r="M80" s="77">
        <v>-62.360224653174647</v>
      </c>
      <c r="N80" s="10"/>
      <c r="O80" s="77">
        <f>IF(ISERROR(O71/O64*100)," ",O71/O64*100)</f>
        <v>-46.602438340414039</v>
      </c>
      <c r="P80" s="77">
        <f>IF(ISERROR(P71/P64*100)," ",P71/P64*100)</f>
        <v>-31.547173788681615</v>
      </c>
      <c r="Q80" s="77">
        <f>IF(ISERROR(Q71/Q64*100)," ",Q71/Q64*100)</f>
        <v>-32.247985943464059</v>
      </c>
      <c r="R80" s="77">
        <f>IF(ISERROR(R71/R64*100)," ",R71/R64*100)</f>
        <v>-38.993071758559864</v>
      </c>
      <c r="S80" s="10"/>
      <c r="T80" s="77">
        <f>IF(ISERROR(T71/T64*100)," ",T71/T64*100)</f>
        <v>-42.417802346092401</v>
      </c>
      <c r="U80" s="77">
        <f>IF(ISERROR(U71/U64*100)," ",U71/U64*100)</f>
        <v>-54.103604496992439</v>
      </c>
      <c r="V80" s="77">
        <f>IF(ISERROR(V71/V64*100)," ",V71/V64*100)</f>
        <v>-10.779982891872445</v>
      </c>
      <c r="W80" s="77">
        <f>IF(ISERROR(W71/W64*100)," ",W71/W64*100)</f>
        <v>-18.789941729175094</v>
      </c>
      <c r="X80" s="10"/>
      <c r="Y80" s="55">
        <f>IF(ISERROR(Y71/Y64*100)," ",Y71/Y64*100)</f>
        <v>-34.259122827857581</v>
      </c>
      <c r="Z80" s="55">
        <f>IF(ISERROR(Z71/Z64*100)," ",Z71/Z64*100)</f>
        <v>-17.183148382806511</v>
      </c>
      <c r="AA80" s="55">
        <f>IF(ISERROR(AA71/AA64*100)," ",AA71/AA64*100)</f>
        <v>-16.536915290924025</v>
      </c>
      <c r="AB80" s="55" t="str">
        <f>IF(ISERROR(AB71/AB64*100)," ",AB71/AB64*100)</f>
        <v xml:space="preserve"> </v>
      </c>
      <c r="AC80" s="10"/>
      <c r="AD80" s="55">
        <f>IF(ISERROR(AD71/AD64*100)," ",AD71/AD64*100)</f>
        <v>-60.196397912495584</v>
      </c>
      <c r="AE80" s="55">
        <f>IF(ISERROR(AE71/AE64*100)," ",AE71/AE64*100)</f>
        <v>-90.284230014380142</v>
      </c>
      <c r="AF80" s="55">
        <f>IF(ISERROR(AF71/AF64*100)," ",AF71/AF64*100)</f>
        <v>-82.411165642737899</v>
      </c>
      <c r="AG80" s="55">
        <f>IF(ISERROR(AG71/AG64*100)," ",AG71/AG64*100)</f>
        <v>-24.599906992942387</v>
      </c>
      <c r="AH80" s="10"/>
      <c r="AI80" s="55">
        <f>IF(ISERROR(AI71/AI64*100)," ",AI71/AI64*100)</f>
        <v>-46.602438340414039</v>
      </c>
      <c r="AJ80" s="55">
        <f>IF(ISERROR(AJ71/AJ64*100)," ",AJ71/AJ64*100)</f>
        <v>-17.191545064344503</v>
      </c>
      <c r="AK80" s="55">
        <f>IF(ISERROR(AK71/AK64*100)," ",AK71/AK64*100)</f>
        <v>-33.745343086462164</v>
      </c>
      <c r="AL80" s="55">
        <f>IF(ISERROR(AL71/AL64*100)," ",AL71/AL64*100)</f>
        <v>-58.524698608911862</v>
      </c>
      <c r="AM80" s="10"/>
      <c r="AN80" s="55">
        <f>IF(ISERROR(AN71/AN64*100)," ",AN71/AN64*100)</f>
        <v>-42.417802346092401</v>
      </c>
      <c r="AO80" s="55">
        <f>IF(ISERROR(AO71/AO64*100)," ",AO71/AO64*100)</f>
        <v>-66.191686319866463</v>
      </c>
      <c r="AP80" s="55">
        <f>IF(ISERROR(AP71/AP64*100)," ",AP71/AP64*100)</f>
        <v>52.504674323407144</v>
      </c>
      <c r="AQ80" s="55">
        <f>IF(ISERROR(AQ71/AQ64*100)," ",AQ71/AQ64*100)</f>
        <v>-34.246048673051</v>
      </c>
      <c r="AR80" s="10"/>
    </row>
    <row r="81" spans="2:44" s="3" customFormat="1">
      <c r="B81" s="36" t="s">
        <v>386</v>
      </c>
      <c r="C81" s="55" t="str">
        <f>IF(ISERROR(C74/C64*100)," ",C74/C64*100)</f>
        <v xml:space="preserve"> </v>
      </c>
      <c r="D81" s="10"/>
      <c r="E81" s="77">
        <v>-35.205916996663433</v>
      </c>
      <c r="F81" s="77">
        <v>-25.91091792539293</v>
      </c>
      <c r="G81" s="77">
        <v>-24.776988607237726</v>
      </c>
      <c r="H81" s="77" t="str">
        <f>IF(ISERROR(H74/H64*100)," ",H74/H64*100)</f>
        <v xml:space="preserve"> </v>
      </c>
      <c r="I81" s="10"/>
      <c r="J81" s="77">
        <f>IF(ISERROR(J74/J64*100)," ",J74/J64*100)</f>
        <v>-67.083148172560371</v>
      </c>
      <c r="K81" s="77">
        <f>IF(ISERROR(K74/K64*100)," ",K74/K64*100)</f>
        <v>-81.242688744435071</v>
      </c>
      <c r="L81" s="77">
        <f>IF(ISERROR(L74/L64*100)," ",L74/L64*100)</f>
        <v>-113.0468426429418</v>
      </c>
      <c r="M81" s="77">
        <v>-91.863896992756295</v>
      </c>
      <c r="N81" s="10"/>
      <c r="O81" s="77">
        <f>IF(ISERROR(O74/O64*100)," ",O74/O64*100)</f>
        <v>-48.859289094917216</v>
      </c>
      <c r="P81" s="77">
        <f>IF(ISERROR(P74/P64*100)," ",P74/P64*100)</f>
        <v>-33.462703781911216</v>
      </c>
      <c r="Q81" s="77">
        <f>IF(ISERROR(Q74/Q64*100)," ",Q74/Q64*100)</f>
        <v>-34.880057356980657</v>
      </c>
      <c r="R81" s="77">
        <f>IF(ISERROR(R74/R64*100)," ",R74/R64*100)</f>
        <v>-41.94089161985876</v>
      </c>
      <c r="S81" s="10"/>
      <c r="T81" s="77">
        <f>IF(ISERROR(T74/T64*100)," ",T74/T64*100)</f>
        <v>-48.357669765162484</v>
      </c>
      <c r="U81" s="77">
        <f>IF(ISERROR(U74/U64*100)," ",U74/U64*100)</f>
        <v>-60.024145402265617</v>
      </c>
      <c r="V81" s="77">
        <f>IF(ISERROR(V74/V64*100)," ",V74/V64*100)</f>
        <v>-15.657524964463821</v>
      </c>
      <c r="W81" s="77">
        <f>IF(ISERROR(W74/W64*100)," ",W74/W64*100)</f>
        <v>-22.41319852162589</v>
      </c>
      <c r="X81" s="10"/>
      <c r="Y81" s="55">
        <f>IF(ISERROR(Y74/Y64*100)," ",Y74/Y64*100)</f>
        <v>-35.205916996663433</v>
      </c>
      <c r="Z81" s="55">
        <f>IF(ISERROR(Z74/Z64*100)," ",Z74/Z64*100)</f>
        <v>-18.033037472185537</v>
      </c>
      <c r="AA81" s="55">
        <f>IF(ISERROR(AA74/AA64*100)," ",AA74/AA64*100)</f>
        <v>-22.593045694376102</v>
      </c>
      <c r="AB81" s="55" t="str">
        <f>IF(ISERROR(AB74/AB64*100)," ",AB74/AB64*100)</f>
        <v xml:space="preserve"> </v>
      </c>
      <c r="AC81" s="10"/>
      <c r="AD81" s="55">
        <f>IF(ISERROR(AD74/AD64*100)," ",AD74/AD64*100)</f>
        <v>-67.083148172560371</v>
      </c>
      <c r="AE81" s="55">
        <f>IF(ISERROR(AE74/AE64*100)," ",AE74/AE64*100)</f>
        <v>-93.526821028293227</v>
      </c>
      <c r="AF81" s="55">
        <f>IF(ISERROR(AF74/AF64*100)," ",AF74/AF64*100)</f>
        <v>-178.14635229942675</v>
      </c>
      <c r="AG81" s="55">
        <f>IF(ISERROR(AG74/AG64*100)," ",AG74/AG64*100)</f>
        <v>-41.716104204549353</v>
      </c>
      <c r="AH81" s="10"/>
      <c r="AI81" s="55">
        <f>IF(ISERROR(AI74/AI64*100)," ",AI74/AI64*100)</f>
        <v>-48.859289094917216</v>
      </c>
      <c r="AJ81" s="55">
        <f>IF(ISERROR(AJ74/AJ64*100)," ",AJ74/AJ64*100)</f>
        <v>-18.781615872986894</v>
      </c>
      <c r="AK81" s="55">
        <f>IF(ISERROR(AK74/AK64*100)," ",AK74/AK64*100)</f>
        <v>-37.908378834143065</v>
      </c>
      <c r="AL81" s="55">
        <f>IF(ISERROR(AL74/AL64*100)," ",AL74/AL64*100)</f>
        <v>-62.386825719921255</v>
      </c>
      <c r="AM81" s="10"/>
      <c r="AN81" s="55">
        <f>IF(ISERROR(AN74/AN64*100)," ",AN74/AN64*100)</f>
        <v>-48.357669765162484</v>
      </c>
      <c r="AO81" s="55">
        <f>IF(ISERROR(AO74/AO64*100)," ",AO74/AO64*100)</f>
        <v>-72.092235402831562</v>
      </c>
      <c r="AP81" s="55">
        <f>IF(ISERROR(AP74/AP64*100)," ",AP74/AP64*100)</f>
        <v>49.150685018491203</v>
      </c>
      <c r="AQ81" s="55">
        <f>IF(ISERROR(AQ74/AQ64*100)," ",AQ74/AQ64*100)</f>
        <v>-35.449022437616662</v>
      </c>
      <c r="AR81" s="10"/>
    </row>
    <row r="82" spans="2:44" s="3" customFormat="1">
      <c r="B82" s="36" t="s">
        <v>15</v>
      </c>
      <c r="C82" s="37" t="e">
        <f>#REF!/1000</f>
        <v>#REF!</v>
      </c>
      <c r="D82" s="45"/>
      <c r="E82" s="59">
        <v>8.2160925999999996</v>
      </c>
      <c r="F82" s="59">
        <v>9.6858495924000003</v>
      </c>
      <c r="G82" s="59">
        <v>12.798814931999999</v>
      </c>
      <c r="H82" s="59" t="e">
        <f>IF(AND($F$7=VALUE($C$4),H$8=$C$8),$C82,0)</f>
        <v>#REF!</v>
      </c>
      <c r="I82" s="45"/>
      <c r="J82" s="59">
        <v>30.451219000000002</v>
      </c>
      <c r="K82" s="59">
        <v>62.029929600000003</v>
      </c>
      <c r="L82" s="59">
        <v>91.148109599999998</v>
      </c>
      <c r="M82" s="59">
        <v>85.732809900000007</v>
      </c>
      <c r="N82" s="45"/>
      <c r="O82" s="91">
        <f>10.606803+0.016803</f>
        <v>10.623605999999999</v>
      </c>
      <c r="P82" s="91">
        <f>24.3903479+0.320024</f>
        <v>24.710371899999998</v>
      </c>
      <c r="Q82" s="59">
        <v>35.414774700000002</v>
      </c>
      <c r="R82" s="59">
        <v>63.815977100000005</v>
      </c>
      <c r="S82" s="45"/>
      <c r="T82" s="59">
        <v>8.1891748</v>
      </c>
      <c r="U82" s="59">
        <v>18.300801356000001</v>
      </c>
      <c r="V82" s="59">
        <v>28.727882300000001</v>
      </c>
      <c r="W82" s="59">
        <v>39.476294023999998</v>
      </c>
      <c r="X82" s="45"/>
      <c r="Y82" s="37">
        <f>+E82</f>
        <v>8.2160925999999996</v>
      </c>
      <c r="Z82" s="37">
        <f t="shared" ref="Z82:AB83" si="39">+F82-E82</f>
        <v>1.4697569924000007</v>
      </c>
      <c r="AA82" s="37">
        <f t="shared" si="39"/>
        <v>3.1129653395999988</v>
      </c>
      <c r="AB82" s="37" t="e">
        <f t="shared" si="39"/>
        <v>#REF!</v>
      </c>
      <c r="AC82" s="45"/>
      <c r="AD82" s="37">
        <f>+J82</f>
        <v>30.451219000000002</v>
      </c>
      <c r="AE82" s="37">
        <f t="shared" ref="AE82:AG83" si="40">+K82-J82</f>
        <v>31.578710600000001</v>
      </c>
      <c r="AF82" s="37">
        <f t="shared" si="40"/>
        <v>29.118179999999995</v>
      </c>
      <c r="AG82" s="37">
        <f t="shared" si="40"/>
        <v>-5.4152996999999914</v>
      </c>
      <c r="AH82" s="45"/>
      <c r="AI82" s="37">
        <f>+O82</f>
        <v>10.623605999999999</v>
      </c>
      <c r="AJ82" s="37">
        <f t="shared" ref="AJ82:AL83" si="41">+P82-O82</f>
        <v>14.0867659</v>
      </c>
      <c r="AK82" s="37">
        <f t="shared" si="41"/>
        <v>10.704402800000004</v>
      </c>
      <c r="AL82" s="37">
        <f t="shared" si="41"/>
        <v>28.401202400000003</v>
      </c>
      <c r="AM82" s="45"/>
      <c r="AN82" s="37">
        <f>+T82</f>
        <v>8.1891748</v>
      </c>
      <c r="AO82" s="37">
        <f t="shared" ref="AO82:AQ83" si="42">+U82-T82</f>
        <v>10.111626556000001</v>
      </c>
      <c r="AP82" s="37">
        <f t="shared" si="42"/>
        <v>10.427080944</v>
      </c>
      <c r="AQ82" s="37">
        <f t="shared" si="42"/>
        <v>10.748411723999997</v>
      </c>
      <c r="AR82" s="45"/>
    </row>
    <row r="83" spans="2:44" s="3" customFormat="1">
      <c r="B83" s="36" t="s">
        <v>0</v>
      </c>
      <c r="C83" s="37" t="e">
        <f>#REF!/1000</f>
        <v>#REF!</v>
      </c>
      <c r="D83" s="51"/>
      <c r="E83" s="59">
        <v>166.489</v>
      </c>
      <c r="F83" s="59">
        <v>309.34899999999999</v>
      </c>
      <c r="G83" s="59">
        <v>433.17099999999999</v>
      </c>
      <c r="H83" s="59" t="e">
        <f>IF(AND($F$7=VALUE($C$4),H$8=$C$8),$C83,0)</f>
        <v>#REF!</v>
      </c>
      <c r="I83" s="51"/>
      <c r="J83" s="59">
        <v>0</v>
      </c>
      <c r="K83" s="59">
        <v>0</v>
      </c>
      <c r="L83" s="59">
        <v>0</v>
      </c>
      <c r="M83" s="59">
        <v>808.20469473100002</v>
      </c>
      <c r="N83" s="51"/>
      <c r="O83" s="59">
        <v>0</v>
      </c>
      <c r="P83" s="59">
        <v>0</v>
      </c>
      <c r="Q83" s="59">
        <v>0</v>
      </c>
      <c r="R83" s="59">
        <v>0</v>
      </c>
      <c r="S83" s="51"/>
      <c r="T83" s="59">
        <v>0</v>
      </c>
      <c r="U83" s="59">
        <v>1.2</v>
      </c>
      <c r="V83" s="59">
        <v>1.2</v>
      </c>
      <c r="W83" s="59">
        <v>1.2</v>
      </c>
      <c r="X83" s="51"/>
      <c r="Y83" s="37">
        <f>+E83</f>
        <v>166.489</v>
      </c>
      <c r="Z83" s="37">
        <f t="shared" si="39"/>
        <v>142.85999999999999</v>
      </c>
      <c r="AA83" s="37">
        <f t="shared" si="39"/>
        <v>123.822</v>
      </c>
      <c r="AB83" s="37" t="e">
        <f t="shared" si="39"/>
        <v>#REF!</v>
      </c>
      <c r="AC83" s="51"/>
      <c r="AD83" s="37">
        <f>+J83</f>
        <v>0</v>
      </c>
      <c r="AE83" s="37">
        <f t="shared" si="40"/>
        <v>0</v>
      </c>
      <c r="AF83" s="37">
        <f t="shared" si="40"/>
        <v>0</v>
      </c>
      <c r="AG83" s="37">
        <f t="shared" si="40"/>
        <v>808.20469473100002</v>
      </c>
      <c r="AH83" s="51"/>
      <c r="AI83" s="37">
        <f>+O83</f>
        <v>0</v>
      </c>
      <c r="AJ83" s="37">
        <f t="shared" si="41"/>
        <v>0</v>
      </c>
      <c r="AK83" s="37">
        <f t="shared" si="41"/>
        <v>0</v>
      </c>
      <c r="AL83" s="37">
        <f t="shared" si="41"/>
        <v>0</v>
      </c>
      <c r="AM83" s="51"/>
      <c r="AN83" s="37">
        <f>+T83</f>
        <v>0</v>
      </c>
      <c r="AO83" s="37">
        <f t="shared" si="42"/>
        <v>1.2</v>
      </c>
      <c r="AP83" s="37">
        <f t="shared" si="42"/>
        <v>0</v>
      </c>
      <c r="AQ83" s="37">
        <f t="shared" si="42"/>
        <v>0</v>
      </c>
      <c r="AR83" s="51"/>
    </row>
    <row r="84" spans="2:44">
      <c r="B84" s="11"/>
      <c r="C84" s="11"/>
      <c r="D84" s="51"/>
      <c r="E84" s="73"/>
      <c r="F84" s="82"/>
      <c r="G84" s="73"/>
      <c r="H84" s="73"/>
      <c r="I84" s="51"/>
      <c r="J84" s="73"/>
      <c r="K84" s="82"/>
      <c r="L84" s="73"/>
      <c r="M84" s="73"/>
      <c r="N84" s="51"/>
      <c r="O84" s="9"/>
      <c r="P84" s="9"/>
      <c r="Q84" s="9"/>
      <c r="R84" s="9"/>
      <c r="S84" s="51"/>
      <c r="T84" s="11"/>
      <c r="U84" s="11"/>
      <c r="V84" s="11"/>
      <c r="W84" s="11"/>
      <c r="X84" s="51"/>
      <c r="Y84" s="4"/>
      <c r="Z84" s="4"/>
      <c r="AA84" s="4"/>
      <c r="AB84" s="4"/>
      <c r="AC84" s="51"/>
      <c r="AD84" s="4"/>
      <c r="AE84" s="4"/>
      <c r="AF84" s="4"/>
      <c r="AG84" s="4"/>
      <c r="AH84" s="51"/>
      <c r="AI84" s="4"/>
      <c r="AJ84" s="4"/>
      <c r="AK84" s="4"/>
      <c r="AL84" s="4"/>
      <c r="AM84" s="51"/>
      <c r="AN84" s="4"/>
      <c r="AO84" s="4"/>
      <c r="AP84" s="4"/>
      <c r="AQ84" s="4"/>
      <c r="AR84" s="51"/>
    </row>
    <row r="85" spans="2:44">
      <c r="B85" s="11"/>
      <c r="C85" s="11"/>
      <c r="D85" s="51"/>
      <c r="E85" s="73"/>
      <c r="F85" s="82"/>
      <c r="G85" s="73"/>
      <c r="H85" s="73"/>
      <c r="I85" s="51"/>
      <c r="J85" s="73"/>
      <c r="K85" s="82"/>
      <c r="L85" s="73"/>
      <c r="M85" s="73"/>
      <c r="N85" s="51"/>
      <c r="O85" s="73"/>
      <c r="P85" s="82"/>
      <c r="Q85" s="73"/>
      <c r="R85" s="73"/>
      <c r="S85" s="51"/>
      <c r="T85" s="11"/>
      <c r="U85" s="11"/>
      <c r="V85" s="11"/>
      <c r="W85" s="11"/>
      <c r="X85" s="51"/>
      <c r="Y85" s="4"/>
      <c r="Z85" s="4"/>
      <c r="AA85" s="4"/>
      <c r="AB85" s="4"/>
      <c r="AC85" s="51"/>
      <c r="AD85" s="4"/>
      <c r="AE85" s="4"/>
      <c r="AF85" s="4"/>
      <c r="AG85" s="4"/>
      <c r="AH85" s="51"/>
      <c r="AI85" s="4"/>
      <c r="AJ85" s="4"/>
      <c r="AK85" s="4"/>
      <c r="AL85" s="4"/>
      <c r="AM85" s="51"/>
      <c r="AN85" s="4"/>
      <c r="AO85" s="4"/>
      <c r="AP85" s="4"/>
      <c r="AQ85" s="4"/>
      <c r="AR85" s="51"/>
    </row>
    <row r="86" spans="2:44">
      <c r="B86" s="11"/>
      <c r="C86" s="11"/>
      <c r="D86" s="51"/>
      <c r="E86" s="73"/>
      <c r="F86" s="82"/>
      <c r="G86" s="73"/>
      <c r="H86" s="73"/>
      <c r="I86" s="51"/>
      <c r="J86" s="73"/>
      <c r="K86" s="82"/>
      <c r="L86" s="73"/>
      <c r="M86" s="73"/>
      <c r="N86" s="51"/>
      <c r="O86" s="73"/>
      <c r="P86" s="82"/>
      <c r="Q86" s="73"/>
      <c r="R86" s="73"/>
      <c r="S86" s="51"/>
      <c r="T86" s="11"/>
      <c r="U86" s="11"/>
      <c r="V86" s="11"/>
      <c r="W86" s="11"/>
      <c r="X86" s="51"/>
      <c r="Y86" s="4"/>
      <c r="Z86" s="4"/>
      <c r="AA86" s="4"/>
      <c r="AB86" s="4"/>
      <c r="AC86" s="51"/>
      <c r="AD86" s="4"/>
      <c r="AE86" s="4"/>
      <c r="AF86" s="4"/>
      <c r="AG86" s="4"/>
      <c r="AH86" s="51"/>
      <c r="AI86" s="4"/>
      <c r="AJ86" s="4"/>
      <c r="AK86" s="4"/>
      <c r="AL86" s="4"/>
      <c r="AM86" s="51"/>
      <c r="AN86" s="4"/>
      <c r="AO86" s="4"/>
      <c r="AP86" s="4"/>
      <c r="AQ86" s="4"/>
      <c r="AR86" s="51"/>
    </row>
    <row r="87" spans="2:44">
      <c r="B87" s="11"/>
      <c r="C87" s="11"/>
      <c r="D87" s="51"/>
      <c r="E87" s="73"/>
      <c r="F87" s="82"/>
      <c r="G87" s="73"/>
      <c r="H87" s="73"/>
      <c r="I87" s="51"/>
      <c r="J87" s="73"/>
      <c r="K87" s="82"/>
      <c r="L87" s="73"/>
      <c r="M87" s="73"/>
      <c r="N87" s="51"/>
      <c r="O87" s="73"/>
      <c r="P87" s="82"/>
      <c r="Q87" s="73"/>
      <c r="R87" s="73"/>
      <c r="S87" s="51"/>
      <c r="T87" s="11"/>
      <c r="U87" s="11"/>
      <c r="V87" s="11"/>
      <c r="W87" s="11"/>
      <c r="X87" s="51"/>
      <c r="Y87" s="4"/>
      <c r="Z87" s="4"/>
      <c r="AA87" s="4"/>
      <c r="AB87" s="4"/>
      <c r="AC87" s="51"/>
      <c r="AD87" s="4"/>
      <c r="AE87" s="4"/>
      <c r="AF87" s="4"/>
      <c r="AG87" s="4"/>
      <c r="AH87" s="51"/>
      <c r="AI87" s="4"/>
      <c r="AJ87" s="4"/>
      <c r="AK87" s="4"/>
      <c r="AL87" s="4"/>
      <c r="AM87" s="51"/>
      <c r="AN87" s="4"/>
      <c r="AO87" s="4"/>
      <c r="AP87" s="4"/>
      <c r="AQ87" s="4"/>
      <c r="AR87" s="51"/>
    </row>
    <row r="88" spans="2:44">
      <c r="B88" s="19" t="s">
        <v>415</v>
      </c>
      <c r="C88" s="19"/>
      <c r="D88" s="6"/>
      <c r="E88" s="70"/>
      <c r="F88" s="194">
        <f>$F$7</f>
        <v>2014</v>
      </c>
      <c r="G88" s="194"/>
      <c r="H88" s="70"/>
      <c r="I88" s="6"/>
      <c r="J88" s="70"/>
      <c r="K88" s="194">
        <f>$K$7</f>
        <v>2013</v>
      </c>
      <c r="L88" s="194"/>
      <c r="M88" s="70"/>
      <c r="N88" s="6"/>
      <c r="O88" s="70"/>
      <c r="P88" s="194">
        <f>$P$7</f>
        <v>2012</v>
      </c>
      <c r="Q88" s="194"/>
      <c r="R88" s="70"/>
      <c r="S88" s="6"/>
      <c r="T88" s="22"/>
      <c r="U88" s="192">
        <f>$U$7</f>
        <v>2011</v>
      </c>
      <c r="V88" s="192"/>
      <c r="W88" s="22"/>
      <c r="X88" s="6"/>
      <c r="Y88" s="22"/>
      <c r="Z88" s="192">
        <f>$Z$7</f>
        <v>2014</v>
      </c>
      <c r="AA88" s="192"/>
      <c r="AB88" s="22"/>
      <c r="AC88" s="6"/>
      <c r="AD88" s="22"/>
      <c r="AE88" s="192">
        <f>$AE$7</f>
        <v>2013</v>
      </c>
      <c r="AF88" s="192"/>
      <c r="AG88" s="22"/>
      <c r="AH88" s="6"/>
      <c r="AI88" s="22"/>
      <c r="AJ88" s="192">
        <f>$AJ$7</f>
        <v>2012</v>
      </c>
      <c r="AK88" s="192"/>
      <c r="AL88" s="22"/>
      <c r="AM88" s="6"/>
      <c r="AN88" s="22"/>
      <c r="AO88" s="192">
        <f>$AO$7</f>
        <v>2011</v>
      </c>
      <c r="AP88" s="192"/>
      <c r="AQ88" s="22"/>
      <c r="AR88" s="6"/>
    </row>
    <row r="89" spans="2:44" ht="16" thickBot="1">
      <c r="B89" s="20" t="s">
        <v>16</v>
      </c>
      <c r="C89" s="21" t="e">
        <f>IF(RIGHT(#REF!,2)="12",RIGHT(#REF!,2)&amp;"M",RIGHT(#REF!,1)&amp;"M")</f>
        <v>#REF!</v>
      </c>
      <c r="E89" s="71" t="s">
        <v>403</v>
      </c>
      <c r="F89" s="71" t="s">
        <v>404</v>
      </c>
      <c r="G89" s="71" t="s">
        <v>405</v>
      </c>
      <c r="H89" s="71" t="s">
        <v>406</v>
      </c>
      <c r="J89" s="71" t="s">
        <v>403</v>
      </c>
      <c r="K89" s="71" t="s">
        <v>404</v>
      </c>
      <c r="L89" s="71" t="s">
        <v>405</v>
      </c>
      <c r="M89" s="71" t="s">
        <v>406</v>
      </c>
      <c r="O89" s="71" t="s">
        <v>403</v>
      </c>
      <c r="P89" s="71" t="s">
        <v>404</v>
      </c>
      <c r="Q89" s="71" t="s">
        <v>405</v>
      </c>
      <c r="R89" s="71" t="s">
        <v>406</v>
      </c>
      <c r="T89" s="21" t="s">
        <v>403</v>
      </c>
      <c r="U89" s="21" t="s">
        <v>404</v>
      </c>
      <c r="V89" s="21" t="s">
        <v>405</v>
      </c>
      <c r="W89" s="21" t="s">
        <v>406</v>
      </c>
      <c r="Y89" s="21" t="s">
        <v>390</v>
      </c>
      <c r="Z89" s="21" t="s">
        <v>391</v>
      </c>
      <c r="AA89" s="21" t="s">
        <v>392</v>
      </c>
      <c r="AB89" s="21" t="s">
        <v>393</v>
      </c>
      <c r="AD89" s="21" t="s">
        <v>390</v>
      </c>
      <c r="AE89" s="21" t="s">
        <v>391</v>
      </c>
      <c r="AF89" s="21" t="s">
        <v>392</v>
      </c>
      <c r="AG89" s="21" t="s">
        <v>393</v>
      </c>
      <c r="AI89" s="21" t="s">
        <v>390</v>
      </c>
      <c r="AJ89" s="21" t="s">
        <v>391</v>
      </c>
      <c r="AK89" s="21" t="s">
        <v>392</v>
      </c>
      <c r="AL89" s="21" t="s">
        <v>393</v>
      </c>
      <c r="AN89" s="21" t="s">
        <v>390</v>
      </c>
      <c r="AO89" s="21" t="s">
        <v>391</v>
      </c>
      <c r="AP89" s="21" t="s">
        <v>392</v>
      </c>
      <c r="AQ89" s="21" t="s">
        <v>393</v>
      </c>
    </row>
    <row r="90" spans="2:44" s="3" customFormat="1">
      <c r="B90" s="36" t="s">
        <v>302</v>
      </c>
      <c r="C90" s="37" t="e">
        <f>(#REF!)/1000</f>
        <v>#REF!</v>
      </c>
      <c r="D90" s="10"/>
      <c r="E90" s="59">
        <v>308.26799999999997</v>
      </c>
      <c r="F90" s="59">
        <v>653.95080700000005</v>
      </c>
      <c r="G90" s="59">
        <v>1097.1967007599999</v>
      </c>
      <c r="H90" s="59" t="e">
        <f>IF(AND($F$7=VALUE($C$4),H$8=$C$8),$C90,0)</f>
        <v>#REF!</v>
      </c>
      <c r="I90" s="10"/>
      <c r="J90" s="59">
        <v>314.53500000000003</v>
      </c>
      <c r="K90" s="59">
        <v>615.17502300000001</v>
      </c>
      <c r="L90" s="59">
        <v>913.53843299999994</v>
      </c>
      <c r="M90" s="59">
        <v>1196.0727160000001</v>
      </c>
      <c r="N90" s="10"/>
      <c r="O90" s="59">
        <v>318.60300000000001</v>
      </c>
      <c r="P90" s="59">
        <v>660.9624</v>
      </c>
      <c r="Q90" s="59">
        <v>1009.35</v>
      </c>
      <c r="R90" s="59">
        <v>1368.1096010000001</v>
      </c>
      <c r="S90" s="10"/>
      <c r="T90" s="59">
        <v>334.88499999999999</v>
      </c>
      <c r="U90" s="59">
        <v>671.64708589999998</v>
      </c>
      <c r="V90" s="59">
        <v>1003.8858044999999</v>
      </c>
      <c r="W90" s="59">
        <v>1329.5402600999998</v>
      </c>
      <c r="X90" s="10"/>
      <c r="Y90" s="37">
        <f t="shared" ref="Y90:Y102" si="43">+E90</f>
        <v>308.26799999999997</v>
      </c>
      <c r="Z90" s="37">
        <f t="shared" ref="Z90:AB102" si="44">+F90-E90</f>
        <v>345.68280700000008</v>
      </c>
      <c r="AA90" s="37">
        <f t="shared" si="44"/>
        <v>443.24589375999983</v>
      </c>
      <c r="AB90" s="37" t="e">
        <f t="shared" si="44"/>
        <v>#REF!</v>
      </c>
      <c r="AC90" s="10"/>
      <c r="AD90" s="37">
        <f t="shared" ref="AD90:AD102" si="45">+J90</f>
        <v>314.53500000000003</v>
      </c>
      <c r="AE90" s="37">
        <f t="shared" ref="AE90:AG102" si="46">+K90-J90</f>
        <v>300.64002299999999</v>
      </c>
      <c r="AF90" s="37">
        <f t="shared" si="46"/>
        <v>298.36340999999993</v>
      </c>
      <c r="AG90" s="37">
        <f t="shared" si="46"/>
        <v>282.53428300000019</v>
      </c>
      <c r="AH90" s="10"/>
      <c r="AI90" s="37">
        <f t="shared" ref="AI90:AI102" si="47">+O90</f>
        <v>318.60300000000001</v>
      </c>
      <c r="AJ90" s="37">
        <f t="shared" ref="AJ90:AL102" si="48">+P90-O90</f>
        <v>342.35939999999999</v>
      </c>
      <c r="AK90" s="37">
        <f t="shared" si="48"/>
        <v>348.38760000000002</v>
      </c>
      <c r="AL90" s="37">
        <f t="shared" si="48"/>
        <v>358.75960100000009</v>
      </c>
      <c r="AM90" s="10"/>
      <c r="AN90" s="37">
        <f t="shared" ref="AN90:AN102" si="49">+T90</f>
        <v>334.88499999999999</v>
      </c>
      <c r="AO90" s="37">
        <f t="shared" ref="AO90:AQ102" si="50">+U90-T90</f>
        <v>336.76208589999999</v>
      </c>
      <c r="AP90" s="37">
        <f t="shared" si="50"/>
        <v>332.23871859999997</v>
      </c>
      <c r="AQ90" s="37">
        <f t="shared" si="50"/>
        <v>325.65445559999989</v>
      </c>
      <c r="AR90" s="10"/>
    </row>
    <row r="91" spans="2:44" s="3" customFormat="1">
      <c r="B91" s="5" t="s">
        <v>303</v>
      </c>
      <c r="C91" s="37" t="e">
        <f>(#REF!)/1000</f>
        <v>#REF!</v>
      </c>
      <c r="D91" s="10"/>
      <c r="E91" s="62">
        <v>131.93165335999998</v>
      </c>
      <c r="F91" s="62">
        <v>284.09319285999999</v>
      </c>
      <c r="G91" s="62">
        <v>443.08329924000003</v>
      </c>
      <c r="H91" s="62" t="e">
        <f>IF(AND($F$7=VALUE($C$4),H$8=$C$8),$C91,0)</f>
        <v>#REF!</v>
      </c>
      <c r="I91" s="10"/>
      <c r="J91" s="62">
        <v>129.16111301999999</v>
      </c>
      <c r="K91" s="62">
        <v>260.60099995000002</v>
      </c>
      <c r="L91" s="62">
        <v>396.13358683999996</v>
      </c>
      <c r="M91" s="62">
        <v>533.86767227999997</v>
      </c>
      <c r="N91" s="10"/>
      <c r="O91" s="62">
        <v>131.298396</v>
      </c>
      <c r="P91" s="62">
        <v>274.24882181999999</v>
      </c>
      <c r="Q91" s="62">
        <v>416.37663382</v>
      </c>
      <c r="R91" s="62">
        <v>553.2968879</v>
      </c>
      <c r="S91" s="10"/>
      <c r="T91" s="62">
        <v>136.759038</v>
      </c>
      <c r="U91" s="62">
        <v>282.928428</v>
      </c>
      <c r="V91" s="62">
        <v>435.80368712000001</v>
      </c>
      <c r="W91" s="62">
        <v>571.65430700000002</v>
      </c>
      <c r="X91" s="10"/>
      <c r="Y91" s="8">
        <f t="shared" si="43"/>
        <v>131.93165335999998</v>
      </c>
      <c r="Z91" s="8">
        <f t="shared" si="44"/>
        <v>152.1615395</v>
      </c>
      <c r="AA91" s="8">
        <f t="shared" si="44"/>
        <v>158.99010638000004</v>
      </c>
      <c r="AB91" s="8" t="e">
        <f t="shared" si="44"/>
        <v>#REF!</v>
      </c>
      <c r="AC91" s="10"/>
      <c r="AD91" s="8">
        <f t="shared" si="45"/>
        <v>129.16111301999999</v>
      </c>
      <c r="AE91" s="8">
        <f t="shared" si="46"/>
        <v>131.43988693000003</v>
      </c>
      <c r="AF91" s="8">
        <f t="shared" si="46"/>
        <v>135.53258688999995</v>
      </c>
      <c r="AG91" s="8">
        <f t="shared" si="46"/>
        <v>137.73408544</v>
      </c>
      <c r="AH91" s="10"/>
      <c r="AI91" s="8">
        <f t="shared" si="47"/>
        <v>131.298396</v>
      </c>
      <c r="AJ91" s="8">
        <f t="shared" si="48"/>
        <v>142.95042581999999</v>
      </c>
      <c r="AK91" s="8">
        <f t="shared" si="48"/>
        <v>142.12781200000001</v>
      </c>
      <c r="AL91" s="8">
        <f t="shared" si="48"/>
        <v>136.92025408000001</v>
      </c>
      <c r="AM91" s="10"/>
      <c r="AN91" s="8">
        <f t="shared" si="49"/>
        <v>136.759038</v>
      </c>
      <c r="AO91" s="8">
        <f t="shared" si="50"/>
        <v>146.16938999999999</v>
      </c>
      <c r="AP91" s="8">
        <f t="shared" si="50"/>
        <v>152.87525912000001</v>
      </c>
      <c r="AQ91" s="8">
        <f t="shared" si="50"/>
        <v>135.85061988000001</v>
      </c>
      <c r="AR91" s="10"/>
    </row>
    <row r="92" spans="2:44">
      <c r="B92" s="28" t="s">
        <v>322</v>
      </c>
      <c r="C92" s="29" t="e">
        <f>+C90+C91</f>
        <v>#REF!</v>
      </c>
      <c r="D92" s="12"/>
      <c r="E92" s="29">
        <v>440.19965335999996</v>
      </c>
      <c r="F92" s="29">
        <v>938.04399985999999</v>
      </c>
      <c r="G92" s="29">
        <v>1540.28</v>
      </c>
      <c r="H92" s="29" t="e">
        <f>+H90+H91</f>
        <v>#REF!</v>
      </c>
      <c r="I92" s="12"/>
      <c r="J92" s="29">
        <f>+J90+J91</f>
        <v>443.69611301999998</v>
      </c>
      <c r="K92" s="29">
        <f>+K90+K91</f>
        <v>875.77602294999997</v>
      </c>
      <c r="L92" s="29">
        <f>+L90+L91</f>
        <v>1309.6720198399998</v>
      </c>
      <c r="M92" s="29">
        <v>1729.9403882800002</v>
      </c>
      <c r="N92" s="12"/>
      <c r="O92" s="29">
        <f>+O90+O91</f>
        <v>449.90139599999998</v>
      </c>
      <c r="P92" s="29">
        <f>+P90+P91</f>
        <v>935.21122181999999</v>
      </c>
      <c r="Q92" s="29">
        <f>+Q90+Q91</f>
        <v>1425.72663382</v>
      </c>
      <c r="R92" s="29">
        <f>+R90+R91</f>
        <v>1921.4064889000001</v>
      </c>
      <c r="S92" s="12"/>
      <c r="T92" s="29">
        <v>471.64403800000002</v>
      </c>
      <c r="U92" s="29">
        <v>954.57551390000003</v>
      </c>
      <c r="V92" s="29">
        <v>1439.6894916199999</v>
      </c>
      <c r="W92" s="29">
        <v>1901.1945670999999</v>
      </c>
      <c r="X92" s="12"/>
      <c r="Y92" s="29">
        <f t="shared" si="43"/>
        <v>440.19965335999996</v>
      </c>
      <c r="Z92" s="29">
        <f t="shared" si="44"/>
        <v>497.84434650000003</v>
      </c>
      <c r="AA92" s="29">
        <f t="shared" si="44"/>
        <v>602.23600013999999</v>
      </c>
      <c r="AB92" s="29" t="e">
        <f t="shared" si="44"/>
        <v>#REF!</v>
      </c>
      <c r="AC92" s="12"/>
      <c r="AD92" s="29">
        <f t="shared" si="45"/>
        <v>443.69611301999998</v>
      </c>
      <c r="AE92" s="29">
        <f t="shared" si="46"/>
        <v>432.07990992999999</v>
      </c>
      <c r="AF92" s="29">
        <f t="shared" si="46"/>
        <v>433.89599688999988</v>
      </c>
      <c r="AG92" s="29">
        <f t="shared" si="46"/>
        <v>420.26836844000036</v>
      </c>
      <c r="AH92" s="12"/>
      <c r="AI92" s="29">
        <f t="shared" si="47"/>
        <v>449.90139599999998</v>
      </c>
      <c r="AJ92" s="29">
        <f t="shared" si="48"/>
        <v>485.30982582000001</v>
      </c>
      <c r="AK92" s="29">
        <f t="shared" si="48"/>
        <v>490.51541199999997</v>
      </c>
      <c r="AL92" s="29">
        <f t="shared" si="48"/>
        <v>495.67985508000015</v>
      </c>
      <c r="AM92" s="12"/>
      <c r="AN92" s="29">
        <f t="shared" si="49"/>
        <v>471.64403800000002</v>
      </c>
      <c r="AO92" s="29">
        <f t="shared" si="50"/>
        <v>482.93147590000001</v>
      </c>
      <c r="AP92" s="29">
        <f t="shared" si="50"/>
        <v>485.11397771999987</v>
      </c>
      <c r="AQ92" s="29">
        <f t="shared" si="50"/>
        <v>461.50507547999996</v>
      </c>
      <c r="AR92" s="12"/>
    </row>
    <row r="93" spans="2:44" s="3" customFormat="1">
      <c r="B93" s="28" t="s">
        <v>379</v>
      </c>
      <c r="C93" s="29" t="e">
        <f>(+#REF!)/1000</f>
        <v>#REF!</v>
      </c>
      <c r="D93" s="12"/>
      <c r="E93" s="63">
        <v>12.106155725199999</v>
      </c>
      <c r="F93" s="63">
        <v>29.164065037199901</v>
      </c>
      <c r="G93" s="63">
        <v>49.757150637699993</v>
      </c>
      <c r="H93" s="63" t="e">
        <f>IF(AND($F$7=VALUE($C$4),H$8=$C$8),$C93,0)</f>
        <v>#REF!</v>
      </c>
      <c r="I93" s="12"/>
      <c r="J93" s="63">
        <v>16.219622622999999</v>
      </c>
      <c r="K93" s="63">
        <v>30.8467037869999</v>
      </c>
      <c r="L93" s="63">
        <v>54.784087341000102</v>
      </c>
      <c r="M93" s="63">
        <v>71.379253071300411</v>
      </c>
      <c r="N93" s="12"/>
      <c r="O93" s="63">
        <v>21.790652733399998</v>
      </c>
      <c r="P93" s="63">
        <v>41.721471558399998</v>
      </c>
      <c r="Q93" s="63">
        <v>63.021245196891506</v>
      </c>
      <c r="R93" s="63">
        <v>90.729655656023695</v>
      </c>
      <c r="S93" s="12"/>
      <c r="T93" s="63">
        <v>19.683453399999998</v>
      </c>
      <c r="U93" s="63">
        <v>39.364626899999998</v>
      </c>
      <c r="V93" s="63">
        <v>66.065866089999801</v>
      </c>
      <c r="W93" s="63">
        <v>84.281609299300001</v>
      </c>
      <c r="X93" s="12"/>
      <c r="Y93" s="30">
        <f t="shared" si="43"/>
        <v>12.106155725199999</v>
      </c>
      <c r="Z93" s="30">
        <f t="shared" si="44"/>
        <v>17.0579093119999</v>
      </c>
      <c r="AA93" s="30">
        <f t="shared" si="44"/>
        <v>20.593085600500093</v>
      </c>
      <c r="AB93" s="30" t="e">
        <f t="shared" si="44"/>
        <v>#REF!</v>
      </c>
      <c r="AC93" s="12"/>
      <c r="AD93" s="30">
        <f t="shared" si="45"/>
        <v>16.219622622999999</v>
      </c>
      <c r="AE93" s="30">
        <f t="shared" si="46"/>
        <v>14.6270811639999</v>
      </c>
      <c r="AF93" s="30">
        <f t="shared" si="46"/>
        <v>23.937383554000203</v>
      </c>
      <c r="AG93" s="30">
        <f t="shared" si="46"/>
        <v>16.595165730300309</v>
      </c>
      <c r="AH93" s="12"/>
      <c r="AI93" s="30">
        <f t="shared" si="47"/>
        <v>21.790652733399998</v>
      </c>
      <c r="AJ93" s="30">
        <f t="shared" si="48"/>
        <v>19.930818824999999</v>
      </c>
      <c r="AK93" s="30">
        <f t="shared" si="48"/>
        <v>21.299773638491509</v>
      </c>
      <c r="AL93" s="30">
        <f t="shared" si="48"/>
        <v>27.708410459132189</v>
      </c>
      <c r="AM93" s="12"/>
      <c r="AN93" s="30">
        <f t="shared" si="49"/>
        <v>19.683453399999998</v>
      </c>
      <c r="AO93" s="30">
        <f t="shared" si="50"/>
        <v>19.6811735</v>
      </c>
      <c r="AP93" s="30">
        <f t="shared" si="50"/>
        <v>26.701239189999804</v>
      </c>
      <c r="AQ93" s="30">
        <f t="shared" si="50"/>
        <v>18.2157432093002</v>
      </c>
      <c r="AR93" s="12"/>
    </row>
    <row r="94" spans="2:44" s="3" customFormat="1">
      <c r="B94" s="36" t="s">
        <v>375</v>
      </c>
      <c r="C94" s="32" t="e">
        <f>(SUM(#REF!)/1000)</f>
        <v>#REF!</v>
      </c>
      <c r="D94" s="10"/>
      <c r="E94" s="60">
        <v>0</v>
      </c>
      <c r="F94" s="60">
        <v>0</v>
      </c>
      <c r="G94" s="60">
        <v>0</v>
      </c>
      <c r="H94" s="60" t="e">
        <f>IF(AND($F$7=VALUE($C$4),H$8=$C$8),$C94,0)</f>
        <v>#REF!</v>
      </c>
      <c r="I94" s="10"/>
      <c r="J94" s="60">
        <v>0</v>
      </c>
      <c r="K94" s="60">
        <v>0</v>
      </c>
      <c r="L94" s="60">
        <v>0</v>
      </c>
      <c r="M94" s="60">
        <v>0</v>
      </c>
      <c r="N94" s="10"/>
      <c r="O94" s="60">
        <v>0</v>
      </c>
      <c r="P94" s="60">
        <v>0</v>
      </c>
      <c r="Q94" s="60">
        <v>3.7080000000000002</v>
      </c>
      <c r="R94" s="60">
        <v>3.70804</v>
      </c>
      <c r="S94" s="10"/>
      <c r="T94" s="60">
        <v>0</v>
      </c>
      <c r="U94" s="60">
        <v>0</v>
      </c>
      <c r="V94" s="60">
        <v>4.6970000000000001</v>
      </c>
      <c r="W94" s="60">
        <v>4.6970000000000001</v>
      </c>
      <c r="X94" s="10"/>
      <c r="Y94" s="32">
        <f t="shared" si="43"/>
        <v>0</v>
      </c>
      <c r="Z94" s="32">
        <f t="shared" si="44"/>
        <v>0</v>
      </c>
      <c r="AA94" s="32">
        <f t="shared" si="44"/>
        <v>0</v>
      </c>
      <c r="AB94" s="32" t="e">
        <f t="shared" si="44"/>
        <v>#REF!</v>
      </c>
      <c r="AC94" s="10"/>
      <c r="AD94" s="32">
        <f t="shared" si="45"/>
        <v>0</v>
      </c>
      <c r="AE94" s="32">
        <f t="shared" si="46"/>
        <v>0</v>
      </c>
      <c r="AF94" s="32">
        <f t="shared" si="46"/>
        <v>0</v>
      </c>
      <c r="AG94" s="32">
        <f t="shared" si="46"/>
        <v>0</v>
      </c>
      <c r="AH94" s="10"/>
      <c r="AI94" s="32">
        <f t="shared" si="47"/>
        <v>0</v>
      </c>
      <c r="AJ94" s="32">
        <f t="shared" si="48"/>
        <v>0</v>
      </c>
      <c r="AK94" s="32">
        <f t="shared" si="48"/>
        <v>3.7080000000000002</v>
      </c>
      <c r="AL94" s="32">
        <f t="shared" si="48"/>
        <v>3.9999999999817959E-5</v>
      </c>
      <c r="AM94" s="10"/>
      <c r="AN94" s="32">
        <f t="shared" si="49"/>
        <v>0</v>
      </c>
      <c r="AO94" s="32">
        <f t="shared" si="50"/>
        <v>0</v>
      </c>
      <c r="AP94" s="32">
        <f t="shared" si="50"/>
        <v>4.6970000000000001</v>
      </c>
      <c r="AQ94" s="32">
        <f t="shared" si="50"/>
        <v>0</v>
      </c>
      <c r="AR94" s="10"/>
    </row>
    <row r="95" spans="2:44" s="3" customFormat="1">
      <c r="B95" s="36" t="s">
        <v>380</v>
      </c>
      <c r="C95" s="37" t="e">
        <f>(+#REF!)/1000</f>
        <v>#REF!</v>
      </c>
      <c r="D95" s="10"/>
      <c r="E95" s="59">
        <v>-0.95799999999999996</v>
      </c>
      <c r="F95" s="59">
        <v>-1.7030000000000001</v>
      </c>
      <c r="G95" s="59">
        <v>-1.702769</v>
      </c>
      <c r="H95" s="59" t="e">
        <f>IF(AND($F$7=VALUE($C$4),H$8=$C$8),$C95,0)</f>
        <v>#REF!</v>
      </c>
      <c r="I95" s="10"/>
      <c r="J95" s="59">
        <v>0</v>
      </c>
      <c r="K95" s="59">
        <v>0</v>
      </c>
      <c r="L95" s="59">
        <v>0</v>
      </c>
      <c r="M95" s="59">
        <v>0</v>
      </c>
      <c r="N95" s="10"/>
      <c r="O95" s="59">
        <v>0</v>
      </c>
      <c r="P95" s="59">
        <v>0</v>
      </c>
      <c r="Q95" s="59">
        <v>0</v>
      </c>
      <c r="R95" s="59">
        <v>-12.990477</v>
      </c>
      <c r="S95" s="10"/>
      <c r="T95" s="59">
        <v>0</v>
      </c>
      <c r="U95" s="59">
        <v>0</v>
      </c>
      <c r="V95" s="59">
        <v>0</v>
      </c>
      <c r="W95" s="59">
        <v>0</v>
      </c>
      <c r="X95" s="10"/>
      <c r="Y95" s="37">
        <f t="shared" si="43"/>
        <v>-0.95799999999999996</v>
      </c>
      <c r="Z95" s="37">
        <f t="shared" si="44"/>
        <v>-0.74500000000000011</v>
      </c>
      <c r="AA95" s="37">
        <f t="shared" si="44"/>
        <v>2.3100000000009224E-4</v>
      </c>
      <c r="AB95" s="37" t="e">
        <f t="shared" si="44"/>
        <v>#REF!</v>
      </c>
      <c r="AC95" s="10"/>
      <c r="AD95" s="37">
        <f t="shared" si="45"/>
        <v>0</v>
      </c>
      <c r="AE95" s="37">
        <f t="shared" si="46"/>
        <v>0</v>
      </c>
      <c r="AF95" s="37">
        <f t="shared" si="46"/>
        <v>0</v>
      </c>
      <c r="AG95" s="37">
        <f t="shared" si="46"/>
        <v>0</v>
      </c>
      <c r="AH95" s="10"/>
      <c r="AI95" s="37">
        <f t="shared" si="47"/>
        <v>0</v>
      </c>
      <c r="AJ95" s="37">
        <f t="shared" si="48"/>
        <v>0</v>
      </c>
      <c r="AK95" s="37">
        <f t="shared" si="48"/>
        <v>0</v>
      </c>
      <c r="AL95" s="37">
        <f t="shared" si="48"/>
        <v>-12.990477</v>
      </c>
      <c r="AM95" s="10"/>
      <c r="AN95" s="37">
        <f t="shared" si="49"/>
        <v>0</v>
      </c>
      <c r="AO95" s="37">
        <f t="shared" si="50"/>
        <v>0</v>
      </c>
      <c r="AP95" s="37">
        <f t="shared" si="50"/>
        <v>0</v>
      </c>
      <c r="AQ95" s="37">
        <f t="shared" si="50"/>
        <v>0</v>
      </c>
      <c r="AR95" s="10"/>
    </row>
    <row r="96" spans="2:44" s="3" customFormat="1">
      <c r="B96" s="36" t="s">
        <v>381</v>
      </c>
      <c r="C96" s="37" t="e">
        <f>(+#REF!)/1000</f>
        <v>#REF!</v>
      </c>
      <c r="D96" s="10"/>
      <c r="E96" s="59">
        <v>0</v>
      </c>
      <c r="F96" s="59">
        <v>0</v>
      </c>
      <c r="G96" s="59">
        <v>0</v>
      </c>
      <c r="H96" s="59" t="e">
        <f>IF(AND($F$7=VALUE($C$4),H$8=$C$8),$C96,0)</f>
        <v>#REF!</v>
      </c>
      <c r="I96" s="10"/>
      <c r="J96" s="59">
        <v>0</v>
      </c>
      <c r="K96" s="59">
        <v>0</v>
      </c>
      <c r="L96" s="59">
        <v>0</v>
      </c>
      <c r="M96" s="59">
        <v>0</v>
      </c>
      <c r="N96" s="10"/>
      <c r="O96" s="59">
        <v>0</v>
      </c>
      <c r="P96" s="59">
        <v>0</v>
      </c>
      <c r="Q96" s="59">
        <v>0</v>
      </c>
      <c r="R96" s="59">
        <v>0</v>
      </c>
      <c r="S96" s="10"/>
      <c r="T96" s="59">
        <v>0</v>
      </c>
      <c r="U96" s="59">
        <v>0</v>
      </c>
      <c r="V96" s="59">
        <v>0</v>
      </c>
      <c r="W96" s="59">
        <v>0</v>
      </c>
      <c r="X96" s="10"/>
      <c r="Y96" s="37">
        <f>+E96</f>
        <v>0</v>
      </c>
      <c r="Z96" s="37">
        <f>+F96-E96</f>
        <v>0</v>
      </c>
      <c r="AA96" s="37">
        <f>+G96-F96</f>
        <v>0</v>
      </c>
      <c r="AB96" s="37" t="e">
        <f>+H96-G96</f>
        <v>#REF!</v>
      </c>
      <c r="AC96" s="10"/>
      <c r="AD96" s="37">
        <f t="shared" si="45"/>
        <v>0</v>
      </c>
      <c r="AE96" s="37">
        <f t="shared" si="46"/>
        <v>0</v>
      </c>
      <c r="AF96" s="37">
        <f t="shared" si="46"/>
        <v>0</v>
      </c>
      <c r="AG96" s="37">
        <f t="shared" si="46"/>
        <v>0</v>
      </c>
      <c r="AH96" s="10"/>
      <c r="AI96" s="37">
        <f t="shared" si="47"/>
        <v>0</v>
      </c>
      <c r="AJ96" s="37">
        <f t="shared" si="48"/>
        <v>0</v>
      </c>
      <c r="AK96" s="37">
        <f t="shared" si="48"/>
        <v>0</v>
      </c>
      <c r="AL96" s="37">
        <f t="shared" si="48"/>
        <v>0</v>
      </c>
      <c r="AM96" s="10"/>
      <c r="AN96" s="37">
        <f t="shared" si="49"/>
        <v>0</v>
      </c>
      <c r="AO96" s="37">
        <f t="shared" si="50"/>
        <v>0</v>
      </c>
      <c r="AP96" s="37">
        <f t="shared" si="50"/>
        <v>0</v>
      </c>
      <c r="AQ96" s="37">
        <f t="shared" si="50"/>
        <v>0</v>
      </c>
      <c r="AR96" s="10"/>
    </row>
    <row r="97" spans="2:44" s="3" customFormat="1">
      <c r="B97" s="36" t="s">
        <v>412</v>
      </c>
      <c r="C97" s="37" t="e">
        <f>(+#REF!)/1000</f>
        <v>#REF!</v>
      </c>
      <c r="D97" s="10"/>
      <c r="E97" s="41"/>
      <c r="F97" s="41"/>
      <c r="G97" s="41"/>
      <c r="H97" s="41"/>
      <c r="I97" s="10"/>
      <c r="J97" s="41"/>
      <c r="K97" s="41"/>
      <c r="L97" s="41"/>
      <c r="M97" s="41"/>
      <c r="N97" s="10"/>
      <c r="O97" s="59">
        <v>0</v>
      </c>
      <c r="P97" s="59">
        <v>0</v>
      </c>
      <c r="Q97" s="59">
        <v>0</v>
      </c>
      <c r="R97" s="59">
        <v>-0.1067</v>
      </c>
      <c r="S97" s="10"/>
      <c r="T97" s="59">
        <v>0</v>
      </c>
      <c r="U97" s="59">
        <v>0</v>
      </c>
      <c r="V97" s="59">
        <v>0</v>
      </c>
      <c r="W97" s="59">
        <v>0</v>
      </c>
      <c r="X97" s="10"/>
      <c r="Y97" s="37">
        <f t="shared" si="43"/>
        <v>0</v>
      </c>
      <c r="Z97" s="37">
        <f t="shared" si="44"/>
        <v>0</v>
      </c>
      <c r="AA97" s="37">
        <f t="shared" si="44"/>
        <v>0</v>
      </c>
      <c r="AB97" s="37">
        <f t="shared" si="44"/>
        <v>0</v>
      </c>
      <c r="AC97" s="10"/>
      <c r="AD97" s="37">
        <f t="shared" si="45"/>
        <v>0</v>
      </c>
      <c r="AE97" s="37">
        <f t="shared" si="46"/>
        <v>0</v>
      </c>
      <c r="AF97" s="37">
        <f t="shared" si="46"/>
        <v>0</v>
      </c>
      <c r="AG97" s="37">
        <f t="shared" si="46"/>
        <v>0</v>
      </c>
      <c r="AH97" s="10"/>
      <c r="AI97" s="37">
        <f t="shared" si="47"/>
        <v>0</v>
      </c>
      <c r="AJ97" s="37">
        <f t="shared" si="48"/>
        <v>0</v>
      </c>
      <c r="AK97" s="37">
        <f t="shared" si="48"/>
        <v>0</v>
      </c>
      <c r="AL97" s="37">
        <f t="shared" si="48"/>
        <v>-0.1067</v>
      </c>
      <c r="AM97" s="10"/>
      <c r="AN97" s="37">
        <f t="shared" si="49"/>
        <v>0</v>
      </c>
      <c r="AO97" s="37">
        <f t="shared" si="50"/>
        <v>0</v>
      </c>
      <c r="AP97" s="37">
        <f t="shared" si="50"/>
        <v>0</v>
      </c>
      <c r="AQ97" s="37">
        <f t="shared" si="50"/>
        <v>0</v>
      </c>
      <c r="AR97" s="10"/>
    </row>
    <row r="98" spans="2:44" s="3" customFormat="1">
      <c r="B98" s="25" t="s">
        <v>382</v>
      </c>
      <c r="C98" s="37" t="e">
        <f>(+#REF!)/1000</f>
        <v>#REF!</v>
      </c>
      <c r="D98" s="10"/>
      <c r="E98" s="26">
        <v>-0.95799999999999996</v>
      </c>
      <c r="F98" s="26">
        <v>-1.7030000000000001</v>
      </c>
      <c r="G98" s="26">
        <v>-1.702769</v>
      </c>
      <c r="H98" s="26" t="e">
        <f>+H94+H95+H96+H97</f>
        <v>#REF!</v>
      </c>
      <c r="I98" s="10"/>
      <c r="J98" s="26">
        <f>+J94+J95+J96+J97</f>
        <v>0</v>
      </c>
      <c r="K98" s="26">
        <f>+K94+K95+K96+K97</f>
        <v>0</v>
      </c>
      <c r="L98" s="26">
        <f>+L94+L95+L96+L97</f>
        <v>0</v>
      </c>
      <c r="M98" s="26">
        <v>0</v>
      </c>
      <c r="N98" s="10"/>
      <c r="O98" s="26">
        <f>+O94+O95+O96+O97</f>
        <v>0</v>
      </c>
      <c r="P98" s="26">
        <f>+P94+P95+P96+P97</f>
        <v>0</v>
      </c>
      <c r="Q98" s="26">
        <f>+Q94+Q95+Q96+Q97</f>
        <v>3.7080000000000002</v>
      </c>
      <c r="R98" s="26">
        <f>+R94+R95+R96+R97</f>
        <v>-9.3891369999999998</v>
      </c>
      <c r="S98" s="10"/>
      <c r="T98" s="26">
        <v>0</v>
      </c>
      <c r="U98" s="26">
        <v>0</v>
      </c>
      <c r="V98" s="26">
        <v>4.6970000000000001</v>
      </c>
      <c r="W98" s="26">
        <v>4.6970000000000001</v>
      </c>
      <c r="X98" s="10"/>
      <c r="Y98" s="26">
        <f t="shared" si="43"/>
        <v>-0.95799999999999996</v>
      </c>
      <c r="Z98" s="26">
        <f t="shared" si="44"/>
        <v>-0.74500000000000011</v>
      </c>
      <c r="AA98" s="26">
        <f t="shared" si="44"/>
        <v>2.3100000000009224E-4</v>
      </c>
      <c r="AB98" s="26" t="e">
        <f t="shared" si="44"/>
        <v>#REF!</v>
      </c>
      <c r="AC98" s="10"/>
      <c r="AD98" s="26">
        <f t="shared" si="45"/>
        <v>0</v>
      </c>
      <c r="AE98" s="26">
        <f t="shared" si="46"/>
        <v>0</v>
      </c>
      <c r="AF98" s="26">
        <f t="shared" si="46"/>
        <v>0</v>
      </c>
      <c r="AG98" s="26">
        <f t="shared" si="46"/>
        <v>0</v>
      </c>
      <c r="AH98" s="10"/>
      <c r="AI98" s="26">
        <f t="shared" si="47"/>
        <v>0</v>
      </c>
      <c r="AJ98" s="26">
        <f t="shared" si="48"/>
        <v>0</v>
      </c>
      <c r="AK98" s="26">
        <f t="shared" si="48"/>
        <v>3.7080000000000002</v>
      </c>
      <c r="AL98" s="26">
        <f t="shared" si="48"/>
        <v>-13.097137</v>
      </c>
      <c r="AM98" s="10"/>
      <c r="AN98" s="26">
        <f t="shared" si="49"/>
        <v>0</v>
      </c>
      <c r="AO98" s="26">
        <f t="shared" si="50"/>
        <v>0</v>
      </c>
      <c r="AP98" s="26">
        <f t="shared" si="50"/>
        <v>4.6970000000000001</v>
      </c>
      <c r="AQ98" s="26">
        <f t="shared" si="50"/>
        <v>0</v>
      </c>
      <c r="AR98" s="10"/>
    </row>
    <row r="99" spans="2:44" s="3" customFormat="1">
      <c r="B99" s="28" t="s">
        <v>408</v>
      </c>
      <c r="C99" s="29" t="e">
        <f>+C93+C98</f>
        <v>#REF!</v>
      </c>
      <c r="D99" s="12"/>
      <c r="E99" s="29">
        <v>11.148155725199999</v>
      </c>
      <c r="F99" s="29">
        <v>27.461065037199901</v>
      </c>
      <c r="G99" s="29">
        <v>48.05438163769999</v>
      </c>
      <c r="H99" s="29" t="e">
        <f>+H93+H98</f>
        <v>#REF!</v>
      </c>
      <c r="I99" s="12"/>
      <c r="J99" s="29">
        <f>+J93+J98</f>
        <v>16.219622622999999</v>
      </c>
      <c r="K99" s="29">
        <f>+K93+K98</f>
        <v>30.8467037869999</v>
      </c>
      <c r="L99" s="29">
        <f>+L93+L98</f>
        <v>54.784087341000102</v>
      </c>
      <c r="M99" s="29">
        <v>71.379253071300411</v>
      </c>
      <c r="N99" s="12"/>
      <c r="O99" s="29">
        <f>+O93+O98</f>
        <v>21.790652733399998</v>
      </c>
      <c r="P99" s="29">
        <f>+P93+P98</f>
        <v>41.721471558399998</v>
      </c>
      <c r="Q99" s="29">
        <f>+Q93+Q98</f>
        <v>66.729245196891512</v>
      </c>
      <c r="R99" s="29">
        <f>+R93+R98</f>
        <v>81.34051865602369</v>
      </c>
      <c r="S99" s="12"/>
      <c r="T99" s="29">
        <v>19.683453399999998</v>
      </c>
      <c r="U99" s="29">
        <v>39.364626899999998</v>
      </c>
      <c r="V99" s="29">
        <v>70.762866089999804</v>
      </c>
      <c r="W99" s="29">
        <v>88.978609299300004</v>
      </c>
      <c r="X99" s="12"/>
      <c r="Y99" s="29">
        <f t="shared" si="43"/>
        <v>11.148155725199999</v>
      </c>
      <c r="Z99" s="29">
        <f t="shared" si="44"/>
        <v>16.312909311999903</v>
      </c>
      <c r="AA99" s="29">
        <f t="shared" si="44"/>
        <v>20.593316600500088</v>
      </c>
      <c r="AB99" s="29" t="e">
        <f t="shared" si="44"/>
        <v>#REF!</v>
      </c>
      <c r="AC99" s="12"/>
      <c r="AD99" s="29">
        <f t="shared" si="45"/>
        <v>16.219622622999999</v>
      </c>
      <c r="AE99" s="29">
        <f t="shared" si="46"/>
        <v>14.6270811639999</v>
      </c>
      <c r="AF99" s="29">
        <f t="shared" si="46"/>
        <v>23.937383554000203</v>
      </c>
      <c r="AG99" s="29">
        <f t="shared" si="46"/>
        <v>16.595165730300309</v>
      </c>
      <c r="AH99" s="12"/>
      <c r="AI99" s="29">
        <f t="shared" si="47"/>
        <v>21.790652733399998</v>
      </c>
      <c r="AJ99" s="29">
        <f t="shared" si="48"/>
        <v>19.930818824999999</v>
      </c>
      <c r="AK99" s="29">
        <f t="shared" si="48"/>
        <v>25.007773638491514</v>
      </c>
      <c r="AL99" s="29">
        <f t="shared" si="48"/>
        <v>14.611273459132178</v>
      </c>
      <c r="AM99" s="12"/>
      <c r="AN99" s="29">
        <f t="shared" si="49"/>
        <v>19.683453399999998</v>
      </c>
      <c r="AO99" s="29">
        <f t="shared" si="50"/>
        <v>19.6811735</v>
      </c>
      <c r="AP99" s="29">
        <f t="shared" si="50"/>
        <v>31.398239189999806</v>
      </c>
      <c r="AQ99" s="29">
        <f t="shared" si="50"/>
        <v>18.2157432093002</v>
      </c>
      <c r="AR99" s="12"/>
    </row>
    <row r="100" spans="2:44" s="3" customFormat="1">
      <c r="B100" s="39" t="s">
        <v>417</v>
      </c>
      <c r="C100" s="32" t="e">
        <f>(+#REF!)/1000</f>
        <v>#REF!</v>
      </c>
      <c r="D100" s="10"/>
      <c r="E100" s="60">
        <v>-7.7388649999999997</v>
      </c>
      <c r="F100" s="60">
        <v>-15.76610782</v>
      </c>
      <c r="G100" s="60">
        <v>-23.172072059999998</v>
      </c>
      <c r="H100" s="60" t="e">
        <f>IF(AND($F$7=VALUE($C$4),H$8=$C$8),$C100,0)</f>
        <v>#REF!</v>
      </c>
      <c r="I100" s="10"/>
      <c r="J100" s="60">
        <v>-3.9661044599999999</v>
      </c>
      <c r="K100" s="60">
        <v>-11.589096509999999</v>
      </c>
      <c r="L100" s="60">
        <v>-19.687227679999999</v>
      </c>
      <c r="M100" s="60">
        <v>-28.442828920000004</v>
      </c>
      <c r="N100" s="10"/>
      <c r="O100" s="60">
        <v>-4.9661</v>
      </c>
      <c r="P100" s="60">
        <v>-10.363887980000001</v>
      </c>
      <c r="Q100" s="60">
        <v>-14.30339242</v>
      </c>
      <c r="R100" s="60">
        <v>-18.175765999999999</v>
      </c>
      <c r="S100" s="10"/>
      <c r="T100" s="60">
        <v>-4.5339999999999998</v>
      </c>
      <c r="U100" s="60">
        <v>-9.3705639999999999</v>
      </c>
      <c r="V100" s="60">
        <v>-16.363</v>
      </c>
      <c r="W100" s="60">
        <v>-21.339908000000001</v>
      </c>
      <c r="X100" s="10"/>
      <c r="Y100" s="32">
        <f t="shared" si="43"/>
        <v>-7.7388649999999997</v>
      </c>
      <c r="Z100" s="32">
        <f t="shared" si="44"/>
        <v>-8.0272428200000014</v>
      </c>
      <c r="AA100" s="32">
        <f t="shared" si="44"/>
        <v>-7.4059642399999976</v>
      </c>
      <c r="AB100" s="32" t="e">
        <f t="shared" si="44"/>
        <v>#REF!</v>
      </c>
      <c r="AC100" s="10"/>
      <c r="AD100" s="32">
        <f t="shared" si="45"/>
        <v>-3.9661044599999999</v>
      </c>
      <c r="AE100" s="32">
        <f t="shared" si="46"/>
        <v>-7.6229920499999988</v>
      </c>
      <c r="AF100" s="32">
        <f t="shared" si="46"/>
        <v>-8.0981311700000003</v>
      </c>
      <c r="AG100" s="32">
        <f t="shared" si="46"/>
        <v>-8.7556012400000043</v>
      </c>
      <c r="AH100" s="10"/>
      <c r="AI100" s="32">
        <f t="shared" si="47"/>
        <v>-4.9661</v>
      </c>
      <c r="AJ100" s="32">
        <f t="shared" si="48"/>
        <v>-5.3977879800000013</v>
      </c>
      <c r="AK100" s="32">
        <f t="shared" si="48"/>
        <v>-3.9395044399999986</v>
      </c>
      <c r="AL100" s="32">
        <f t="shared" si="48"/>
        <v>-3.8723735799999996</v>
      </c>
      <c r="AM100" s="10"/>
      <c r="AN100" s="32">
        <f t="shared" si="49"/>
        <v>-4.5339999999999998</v>
      </c>
      <c r="AO100" s="32">
        <f t="shared" si="50"/>
        <v>-4.8365640000000001</v>
      </c>
      <c r="AP100" s="32">
        <f t="shared" si="50"/>
        <v>-6.9924359999999997</v>
      </c>
      <c r="AQ100" s="32">
        <f t="shared" si="50"/>
        <v>-4.9769080000000017</v>
      </c>
      <c r="AR100" s="10"/>
    </row>
    <row r="101" spans="2:44" s="3" customFormat="1">
      <c r="B101" s="54" t="s">
        <v>8</v>
      </c>
      <c r="C101" s="35" t="e">
        <f>(+#REF!)/1000</f>
        <v>#REF!</v>
      </c>
      <c r="D101" s="10"/>
      <c r="E101" s="61">
        <v>0</v>
      </c>
      <c r="F101" s="61">
        <v>0</v>
      </c>
      <c r="G101" s="61">
        <v>0</v>
      </c>
      <c r="H101" s="61" t="e">
        <f>IF(AND($F$7=VALUE($C$4),H$8=$C$8),$C101,0)</f>
        <v>#REF!</v>
      </c>
      <c r="I101" s="10"/>
      <c r="J101" s="61">
        <v>0</v>
      </c>
      <c r="K101" s="61">
        <v>0</v>
      </c>
      <c r="L101" s="61">
        <v>0</v>
      </c>
      <c r="M101" s="61">
        <v>0</v>
      </c>
      <c r="N101" s="10"/>
      <c r="O101" s="61">
        <v>0</v>
      </c>
      <c r="P101" s="61">
        <v>0</v>
      </c>
      <c r="Q101" s="61">
        <v>0</v>
      </c>
      <c r="R101" s="61">
        <v>0</v>
      </c>
      <c r="S101" s="10"/>
      <c r="T101" s="61">
        <v>0</v>
      </c>
      <c r="U101" s="61">
        <v>0</v>
      </c>
      <c r="V101" s="61">
        <v>0</v>
      </c>
      <c r="W101" s="61">
        <v>0</v>
      </c>
      <c r="X101" s="10"/>
      <c r="Y101" s="26">
        <f t="shared" si="43"/>
        <v>0</v>
      </c>
      <c r="Z101" s="26">
        <f t="shared" si="44"/>
        <v>0</v>
      </c>
      <c r="AA101" s="26">
        <f t="shared" si="44"/>
        <v>0</v>
      </c>
      <c r="AB101" s="26" t="e">
        <f t="shared" si="44"/>
        <v>#REF!</v>
      </c>
      <c r="AC101" s="10"/>
      <c r="AD101" s="26">
        <f t="shared" si="45"/>
        <v>0</v>
      </c>
      <c r="AE101" s="26">
        <f t="shared" si="46"/>
        <v>0</v>
      </c>
      <c r="AF101" s="26">
        <f t="shared" si="46"/>
        <v>0</v>
      </c>
      <c r="AG101" s="26">
        <f t="shared" si="46"/>
        <v>0</v>
      </c>
      <c r="AH101" s="10"/>
      <c r="AI101" s="26">
        <f t="shared" si="47"/>
        <v>0</v>
      </c>
      <c r="AJ101" s="26">
        <f t="shared" si="48"/>
        <v>0</v>
      </c>
      <c r="AK101" s="26">
        <f t="shared" si="48"/>
        <v>0</v>
      </c>
      <c r="AL101" s="26">
        <f t="shared" si="48"/>
        <v>0</v>
      </c>
      <c r="AM101" s="10"/>
      <c r="AN101" s="26">
        <f t="shared" si="49"/>
        <v>0</v>
      </c>
      <c r="AO101" s="26">
        <f t="shared" si="50"/>
        <v>0</v>
      </c>
      <c r="AP101" s="26">
        <f t="shared" si="50"/>
        <v>0</v>
      </c>
      <c r="AQ101" s="26">
        <f t="shared" si="50"/>
        <v>0</v>
      </c>
      <c r="AR101" s="10"/>
    </row>
    <row r="102" spans="2:44" s="3" customFormat="1">
      <c r="B102" s="28" t="s">
        <v>407</v>
      </c>
      <c r="C102" s="29" t="e">
        <f>+C99+C100+C101</f>
        <v>#REF!</v>
      </c>
      <c r="D102" s="12"/>
      <c r="E102" s="29">
        <v>3.4092907251999991</v>
      </c>
      <c r="F102" s="29">
        <v>11.694957217199901</v>
      </c>
      <c r="G102" s="29">
        <v>24.882309577699992</v>
      </c>
      <c r="H102" s="29" t="e">
        <f>+H99+H100+H101</f>
        <v>#REF!</v>
      </c>
      <c r="I102" s="12"/>
      <c r="J102" s="29">
        <f>+J99+J100+J101</f>
        <v>12.253518162999999</v>
      </c>
      <c r="K102" s="29">
        <f>+K99+K100+K101</f>
        <v>19.257607276999899</v>
      </c>
      <c r="L102" s="29">
        <f>+L99+L100+L101</f>
        <v>35.096859661000103</v>
      </c>
      <c r="M102" s="29">
        <v>42.936424151300407</v>
      </c>
      <c r="N102" s="12"/>
      <c r="O102" s="29">
        <f>+O99+O100+O101</f>
        <v>16.824552733399997</v>
      </c>
      <c r="P102" s="29">
        <f>+P99+P100+P101</f>
        <v>31.357583578399996</v>
      </c>
      <c r="Q102" s="29">
        <f>+Q99+Q100+Q101</f>
        <v>52.42585277689151</v>
      </c>
      <c r="R102" s="29">
        <f>+R99+R100+R101</f>
        <v>63.164752656023694</v>
      </c>
      <c r="S102" s="12"/>
      <c r="T102" s="29">
        <v>15.149453399999999</v>
      </c>
      <c r="U102" s="29">
        <v>29.994062899999996</v>
      </c>
      <c r="V102" s="29">
        <v>54.399866089999804</v>
      </c>
      <c r="W102" s="29">
        <v>67.63870129930001</v>
      </c>
      <c r="X102" s="12"/>
      <c r="Y102" s="29">
        <f t="shared" si="43"/>
        <v>3.4092907251999991</v>
      </c>
      <c r="Z102" s="29">
        <f t="shared" si="44"/>
        <v>8.2856664919999012</v>
      </c>
      <c r="AA102" s="29">
        <f t="shared" si="44"/>
        <v>13.187352360500091</v>
      </c>
      <c r="AB102" s="29" t="e">
        <f t="shared" si="44"/>
        <v>#REF!</v>
      </c>
      <c r="AC102" s="12"/>
      <c r="AD102" s="29">
        <f t="shared" si="45"/>
        <v>12.253518162999999</v>
      </c>
      <c r="AE102" s="29">
        <f t="shared" si="46"/>
        <v>7.0040891139998998</v>
      </c>
      <c r="AF102" s="29">
        <f t="shared" si="46"/>
        <v>15.839252384000204</v>
      </c>
      <c r="AG102" s="29">
        <f t="shared" si="46"/>
        <v>7.8395644903003046</v>
      </c>
      <c r="AH102" s="12"/>
      <c r="AI102" s="29">
        <f t="shared" si="47"/>
        <v>16.824552733399997</v>
      </c>
      <c r="AJ102" s="29">
        <f t="shared" si="48"/>
        <v>14.533030844999999</v>
      </c>
      <c r="AK102" s="29">
        <f t="shared" si="48"/>
        <v>21.068269198491514</v>
      </c>
      <c r="AL102" s="29">
        <f t="shared" si="48"/>
        <v>10.738899879132184</v>
      </c>
      <c r="AM102" s="12"/>
      <c r="AN102" s="29">
        <f t="shared" si="49"/>
        <v>15.149453399999999</v>
      </c>
      <c r="AO102" s="29">
        <f t="shared" si="50"/>
        <v>14.844609499999997</v>
      </c>
      <c r="AP102" s="29">
        <f t="shared" si="50"/>
        <v>24.405803189999808</v>
      </c>
      <c r="AQ102" s="29">
        <f t="shared" si="50"/>
        <v>13.238835209300206</v>
      </c>
      <c r="AR102" s="12"/>
    </row>
    <row r="103" spans="2:44" s="3" customFormat="1">
      <c r="B103" s="87" t="s">
        <v>383</v>
      </c>
      <c r="C103" s="85"/>
      <c r="D103" s="12"/>
      <c r="E103" s="60">
        <v>0</v>
      </c>
      <c r="F103" s="60">
        <v>0</v>
      </c>
      <c r="G103" s="60">
        <v>0</v>
      </c>
      <c r="H103" s="60" t="e">
        <f>IF(AND($F$7=VALUE($C$4),H$8=$C$8),$C103,0)</f>
        <v>#REF!</v>
      </c>
      <c r="I103" s="12"/>
      <c r="J103" s="60">
        <v>0</v>
      </c>
      <c r="K103" s="60">
        <v>0</v>
      </c>
      <c r="L103" s="60">
        <v>0</v>
      </c>
      <c r="M103" s="60">
        <v>0</v>
      </c>
      <c r="N103" s="12"/>
      <c r="O103" s="86"/>
      <c r="P103" s="86"/>
      <c r="Q103" s="86"/>
      <c r="R103" s="86"/>
      <c r="S103" s="12"/>
      <c r="T103" s="86"/>
      <c r="U103" s="86"/>
      <c r="V103" s="86"/>
      <c r="W103" s="86"/>
      <c r="X103" s="12"/>
      <c r="Y103" s="86"/>
      <c r="Z103" s="86"/>
      <c r="AA103" s="86"/>
      <c r="AB103" s="86"/>
      <c r="AC103" s="12"/>
      <c r="AD103" s="86"/>
      <c r="AE103" s="86"/>
      <c r="AF103" s="86"/>
      <c r="AG103" s="86"/>
      <c r="AH103" s="12"/>
      <c r="AI103" s="86"/>
      <c r="AJ103" s="86"/>
      <c r="AK103" s="86"/>
      <c r="AL103" s="86"/>
      <c r="AM103" s="12"/>
      <c r="AN103" s="86"/>
      <c r="AO103" s="86"/>
      <c r="AP103" s="86"/>
      <c r="AQ103" s="86"/>
      <c r="AR103" s="12"/>
    </row>
    <row r="104" spans="2:44" s="3" customFormat="1">
      <c r="B104" s="25" t="s">
        <v>321</v>
      </c>
      <c r="C104" s="32" t="e">
        <f>#REF!/1000</f>
        <v>#REF!</v>
      </c>
      <c r="D104" s="10"/>
      <c r="E104" s="61">
        <v>-5.8098056289999995</v>
      </c>
      <c r="F104" s="61">
        <v>1.2481653330000002</v>
      </c>
      <c r="G104" s="61">
        <v>7.7155674006999995</v>
      </c>
      <c r="H104" s="61" t="e">
        <f>IF(AND($F$7=VALUE($C$4),H$8=$C$8),$C104,0)</f>
        <v>#REF!</v>
      </c>
      <c r="I104" s="10"/>
      <c r="J104" s="61">
        <v>10.604266195000001</v>
      </c>
      <c r="K104" s="61">
        <v>17.341473670800003</v>
      </c>
      <c r="L104" s="61">
        <v>22.866513708000003</v>
      </c>
      <c r="M104" s="61">
        <v>32.362241033700002</v>
      </c>
      <c r="N104" s="10"/>
      <c r="O104" s="61">
        <v>-5.9952020300000006</v>
      </c>
      <c r="P104" s="61">
        <v>-10.604025869999999</v>
      </c>
      <c r="Q104" s="61">
        <v>-3.5736188514</v>
      </c>
      <c r="R104" s="61">
        <v>-3.785868392736</v>
      </c>
      <c r="S104" s="10"/>
      <c r="T104" s="61">
        <v>-3.8757820000000001</v>
      </c>
      <c r="U104" s="61">
        <v>-7.074433</v>
      </c>
      <c r="V104" s="61">
        <v>10.182675960000001</v>
      </c>
      <c r="W104" s="61">
        <v>17.173982896499997</v>
      </c>
      <c r="X104" s="10"/>
      <c r="Y104" s="26">
        <f>+E104</f>
        <v>-5.8098056289999995</v>
      </c>
      <c r="Z104" s="26">
        <f t="shared" ref="Z104:AB105" si="51">+F104-E104</f>
        <v>7.0579709619999997</v>
      </c>
      <c r="AA104" s="26">
        <f t="shared" si="51"/>
        <v>6.4674020676999993</v>
      </c>
      <c r="AB104" s="26" t="e">
        <f t="shared" si="51"/>
        <v>#REF!</v>
      </c>
      <c r="AC104" s="10"/>
      <c r="AD104" s="26">
        <f>+J104</f>
        <v>10.604266195000001</v>
      </c>
      <c r="AE104" s="26">
        <f t="shared" ref="AE104:AG105" si="52">+K104-J104</f>
        <v>6.7372074758000018</v>
      </c>
      <c r="AF104" s="26">
        <f t="shared" si="52"/>
        <v>5.5250400372000001</v>
      </c>
      <c r="AG104" s="26">
        <f t="shared" si="52"/>
        <v>9.495727325699999</v>
      </c>
      <c r="AH104" s="10"/>
      <c r="AI104" s="26">
        <f>+O104</f>
        <v>-5.9952020300000006</v>
      </c>
      <c r="AJ104" s="26">
        <f t="shared" ref="AJ104:AL105" si="53">+P104-O104</f>
        <v>-4.6088238399999986</v>
      </c>
      <c r="AK104" s="26">
        <f t="shared" si="53"/>
        <v>7.0304070185999992</v>
      </c>
      <c r="AL104" s="26">
        <f t="shared" si="53"/>
        <v>-0.21224954133599994</v>
      </c>
      <c r="AM104" s="10"/>
      <c r="AN104" s="26">
        <f>+T104</f>
        <v>-3.8757820000000001</v>
      </c>
      <c r="AO104" s="26">
        <f t="shared" ref="AO104:AQ105" si="54">+U104-T104</f>
        <v>-3.1986509999999999</v>
      </c>
      <c r="AP104" s="26">
        <f t="shared" si="54"/>
        <v>17.25710896</v>
      </c>
      <c r="AQ104" s="26">
        <f t="shared" si="54"/>
        <v>6.9913069364999956</v>
      </c>
      <c r="AR104" s="10"/>
    </row>
    <row r="105" spans="2:44" s="3" customFormat="1">
      <c r="B105" s="28" t="s">
        <v>384</v>
      </c>
      <c r="C105" s="29" t="e">
        <f>SUM(C102:C104)</f>
        <v>#REF!</v>
      </c>
      <c r="D105" s="12"/>
      <c r="E105" s="29">
        <v>-2.4005149038000004</v>
      </c>
      <c r="F105" s="29">
        <v>12.943122550199902</v>
      </c>
      <c r="G105" s="29">
        <v>32.597876978399995</v>
      </c>
      <c r="H105" s="29" t="e">
        <f>SUM(H102:H104)</f>
        <v>#REF!</v>
      </c>
      <c r="I105" s="12"/>
      <c r="J105" s="29">
        <f>SUM(J102:J104)</f>
        <v>22.857784358</v>
      </c>
      <c r="K105" s="29">
        <f>SUM(K102:K104)</f>
        <v>36.599080947799905</v>
      </c>
      <c r="L105" s="29">
        <f>SUM(L102:L104)</f>
        <v>57.963373369000109</v>
      </c>
      <c r="M105" s="29">
        <v>75.298665185000402</v>
      </c>
      <c r="N105" s="12"/>
      <c r="O105" s="29">
        <f>SUM(O102:O104)</f>
        <v>10.829350703399996</v>
      </c>
      <c r="P105" s="29">
        <f>SUM(P102:P104)</f>
        <v>20.753557708399995</v>
      </c>
      <c r="Q105" s="29">
        <f>SUM(Q102:Q104)</f>
        <v>48.852233925491511</v>
      </c>
      <c r="R105" s="29">
        <f>SUM(R102:R104)</f>
        <v>59.378884263287695</v>
      </c>
      <c r="S105" s="12"/>
      <c r="T105" s="29">
        <v>11.273671399999998</v>
      </c>
      <c r="U105" s="29">
        <v>22.919629899999997</v>
      </c>
      <c r="V105" s="29">
        <v>64.582542049999802</v>
      </c>
      <c r="W105" s="29">
        <v>84.812684195800003</v>
      </c>
      <c r="X105" s="12"/>
      <c r="Y105" s="29">
        <f>+E105</f>
        <v>-2.4005149038000004</v>
      </c>
      <c r="Z105" s="29">
        <f t="shared" si="51"/>
        <v>15.343637453999904</v>
      </c>
      <c r="AA105" s="29">
        <f t="shared" si="51"/>
        <v>19.654754428200093</v>
      </c>
      <c r="AB105" s="29" t="e">
        <f t="shared" si="51"/>
        <v>#REF!</v>
      </c>
      <c r="AC105" s="12"/>
      <c r="AD105" s="29">
        <f>+J105</f>
        <v>22.857784358</v>
      </c>
      <c r="AE105" s="29">
        <f t="shared" si="52"/>
        <v>13.741296589799905</v>
      </c>
      <c r="AF105" s="29">
        <f t="shared" si="52"/>
        <v>21.364292421200204</v>
      </c>
      <c r="AG105" s="29">
        <f t="shared" si="52"/>
        <v>17.335291816000293</v>
      </c>
      <c r="AH105" s="12"/>
      <c r="AI105" s="29">
        <f>+O105</f>
        <v>10.829350703399996</v>
      </c>
      <c r="AJ105" s="29">
        <f t="shared" si="53"/>
        <v>9.9242070049999995</v>
      </c>
      <c r="AK105" s="29">
        <f t="shared" si="53"/>
        <v>28.098676217091516</v>
      </c>
      <c r="AL105" s="29">
        <f t="shared" si="53"/>
        <v>10.526650337796184</v>
      </c>
      <c r="AM105" s="12"/>
      <c r="AN105" s="29">
        <f>+T105</f>
        <v>11.273671399999998</v>
      </c>
      <c r="AO105" s="29">
        <f t="shared" si="54"/>
        <v>11.645958499999999</v>
      </c>
      <c r="AP105" s="29">
        <f t="shared" si="54"/>
        <v>41.662912149999805</v>
      </c>
      <c r="AQ105" s="29">
        <f t="shared" si="54"/>
        <v>20.230142145800201</v>
      </c>
      <c r="AR105" s="12"/>
    </row>
    <row r="106" spans="2:44" s="3" customFormat="1">
      <c r="B106" s="11"/>
      <c r="C106" s="7"/>
      <c r="D106" s="51"/>
      <c r="E106" s="77">
        <v>0.77448737162267711</v>
      </c>
      <c r="F106" s="77">
        <v>1.2467386624662953</v>
      </c>
      <c r="G106" s="77">
        <v>1.6154406716765779</v>
      </c>
      <c r="H106" s="77" t="str">
        <f>IF(ISERROR(H102/H92*100)," ",H102/H92*100)</f>
        <v xml:space="preserve"> </v>
      </c>
      <c r="I106" s="51"/>
      <c r="J106" s="77">
        <f>IF(ISERROR(J102/J92*100)," ",J102/J92*100)</f>
        <v>2.7616915729995726</v>
      </c>
      <c r="K106" s="77">
        <f>IF(ISERROR(K102/K92*100)," ",K102/K92*100)</f>
        <v>2.1989192181959702</v>
      </c>
      <c r="L106" s="77">
        <f>IF(ISERROR(L102/L92*100)," ",L102/L92*100)</f>
        <v>2.6798205298214905</v>
      </c>
      <c r="M106" s="77">
        <v>2.4819597508784748</v>
      </c>
      <c r="N106" s="51"/>
      <c r="O106" s="73"/>
      <c r="P106" s="73"/>
      <c r="Q106" s="73"/>
      <c r="R106" s="73"/>
      <c r="S106" s="51"/>
      <c r="T106" s="7"/>
      <c r="U106" s="7"/>
      <c r="V106" s="7"/>
      <c r="W106" s="7"/>
      <c r="X106" s="51"/>
      <c r="AC106" s="51"/>
      <c r="AH106" s="51"/>
      <c r="AM106" s="51"/>
      <c r="AR106" s="51"/>
    </row>
    <row r="107" spans="2:44" s="3" customFormat="1">
      <c r="B107" s="36" t="s">
        <v>15</v>
      </c>
      <c r="C107" s="37" t="e">
        <f>#REF!/1000</f>
        <v>#REF!</v>
      </c>
      <c r="D107" s="45"/>
      <c r="E107" s="60">
        <v>6.5149999999999997</v>
      </c>
      <c r="F107" s="60">
        <v>12.6644896</v>
      </c>
      <c r="G107" s="60">
        <v>15.7008964</v>
      </c>
      <c r="H107" s="60" t="e">
        <f>IF(AND($F$7=VALUE($C$4),H$8=$C$8),$C107,0)</f>
        <v>#REF!</v>
      </c>
      <c r="I107" s="45"/>
      <c r="J107" s="60">
        <v>21.951000000000001</v>
      </c>
      <c r="K107" s="60">
        <v>42.398000000000003</v>
      </c>
      <c r="L107" s="60">
        <v>48.735999999999997</v>
      </c>
      <c r="M107" s="60">
        <v>45.59</v>
      </c>
      <c r="N107" s="45"/>
      <c r="O107" s="59">
        <v>13.702</v>
      </c>
      <c r="P107" s="59">
        <v>25.201000000000001</v>
      </c>
      <c r="Q107" s="59">
        <v>35.142000000000003</v>
      </c>
      <c r="R107" s="59">
        <v>64.552999999999997</v>
      </c>
      <c r="S107" s="45"/>
      <c r="T107" s="59">
        <v>7.1070180000000001</v>
      </c>
      <c r="U107" s="59">
        <v>13.221</v>
      </c>
      <c r="V107" s="59">
        <v>11.842000000000001</v>
      </c>
      <c r="W107" s="59">
        <v>20.780999999999999</v>
      </c>
      <c r="X107" s="45"/>
      <c r="Y107" s="37">
        <f>+E107</f>
        <v>6.5149999999999997</v>
      </c>
      <c r="Z107" s="37">
        <f t="shared" ref="Z107:AB108" si="55">+F107-E107</f>
        <v>6.1494895999999999</v>
      </c>
      <c r="AA107" s="37">
        <f t="shared" si="55"/>
        <v>3.0364068</v>
      </c>
      <c r="AB107" s="37" t="e">
        <f t="shared" si="55"/>
        <v>#REF!</v>
      </c>
      <c r="AC107" s="45"/>
      <c r="AD107" s="37">
        <f>+J107</f>
        <v>21.951000000000001</v>
      </c>
      <c r="AE107" s="37">
        <f t="shared" ref="AE107:AG108" si="56">+K107-J107</f>
        <v>20.447000000000003</v>
      </c>
      <c r="AF107" s="37">
        <f t="shared" si="56"/>
        <v>6.3379999999999939</v>
      </c>
      <c r="AG107" s="37">
        <f t="shared" si="56"/>
        <v>-3.1459999999999937</v>
      </c>
      <c r="AH107" s="45"/>
      <c r="AI107" s="37">
        <f>+O107</f>
        <v>13.702</v>
      </c>
      <c r="AJ107" s="37">
        <f t="shared" ref="AJ107:AL108" si="57">+P107-O107</f>
        <v>11.499000000000001</v>
      </c>
      <c r="AK107" s="37">
        <f t="shared" si="57"/>
        <v>9.9410000000000025</v>
      </c>
      <c r="AL107" s="37">
        <f t="shared" si="57"/>
        <v>29.410999999999994</v>
      </c>
      <c r="AM107" s="45"/>
      <c r="AN107" s="37">
        <f>+T107</f>
        <v>7.1070180000000001</v>
      </c>
      <c r="AO107" s="37">
        <f t="shared" ref="AO107:AQ108" si="58">+U107-T107</f>
        <v>6.113982</v>
      </c>
      <c r="AP107" s="37">
        <f t="shared" si="58"/>
        <v>-1.3789999999999996</v>
      </c>
      <c r="AQ107" s="37">
        <f t="shared" si="58"/>
        <v>8.9389999999999983</v>
      </c>
      <c r="AR107" s="45"/>
    </row>
    <row r="108" spans="2:44" s="3" customFormat="1">
      <c r="B108" s="36" t="s">
        <v>0</v>
      </c>
      <c r="C108" s="37" t="e">
        <f>(#REF!)/1000</f>
        <v>#REF!</v>
      </c>
      <c r="D108" s="51"/>
      <c r="E108" s="61">
        <v>0</v>
      </c>
      <c r="F108" s="61">
        <v>0</v>
      </c>
      <c r="G108" s="61">
        <v>0</v>
      </c>
      <c r="H108" s="61" t="e">
        <f>IF(AND($F$7=VALUE($C$4),H$8=$C$8),$C108,0)</f>
        <v>#REF!</v>
      </c>
      <c r="I108" s="51"/>
      <c r="J108" s="61">
        <v>0</v>
      </c>
      <c r="K108" s="61">
        <v>0</v>
      </c>
      <c r="L108" s="61">
        <v>0</v>
      </c>
      <c r="M108" s="61">
        <v>0</v>
      </c>
      <c r="N108" s="51"/>
      <c r="O108" s="59">
        <v>0</v>
      </c>
      <c r="P108" s="59">
        <v>0</v>
      </c>
      <c r="Q108" s="59">
        <v>0</v>
      </c>
      <c r="R108" s="59">
        <v>0</v>
      </c>
      <c r="S108" s="51"/>
      <c r="T108" s="59">
        <v>0</v>
      </c>
      <c r="U108" s="59">
        <v>0</v>
      </c>
      <c r="V108" s="59">
        <v>0</v>
      </c>
      <c r="W108" s="59">
        <v>0</v>
      </c>
      <c r="X108" s="51"/>
      <c r="Y108" s="37">
        <f>+E108</f>
        <v>0</v>
      </c>
      <c r="Z108" s="37">
        <f t="shared" si="55"/>
        <v>0</v>
      </c>
      <c r="AA108" s="37">
        <f t="shared" si="55"/>
        <v>0</v>
      </c>
      <c r="AB108" s="37" t="e">
        <f t="shared" si="55"/>
        <v>#REF!</v>
      </c>
      <c r="AC108" s="51"/>
      <c r="AD108" s="37">
        <f>+J108</f>
        <v>0</v>
      </c>
      <c r="AE108" s="37">
        <f t="shared" si="56"/>
        <v>0</v>
      </c>
      <c r="AF108" s="37">
        <f t="shared" si="56"/>
        <v>0</v>
      </c>
      <c r="AG108" s="37">
        <f t="shared" si="56"/>
        <v>0</v>
      </c>
      <c r="AH108" s="51"/>
      <c r="AI108" s="37">
        <f>+O108</f>
        <v>0</v>
      </c>
      <c r="AJ108" s="37">
        <f t="shared" si="57"/>
        <v>0</v>
      </c>
      <c r="AK108" s="37">
        <f t="shared" si="57"/>
        <v>0</v>
      </c>
      <c r="AL108" s="37">
        <f t="shared" si="57"/>
        <v>0</v>
      </c>
      <c r="AM108" s="51"/>
      <c r="AN108" s="37">
        <f>+T108</f>
        <v>0</v>
      </c>
      <c r="AO108" s="37">
        <f t="shared" si="58"/>
        <v>0</v>
      </c>
      <c r="AP108" s="37">
        <f t="shared" si="58"/>
        <v>0</v>
      </c>
      <c r="AQ108" s="37">
        <f t="shared" si="58"/>
        <v>0</v>
      </c>
      <c r="AR108" s="51"/>
    </row>
    <row r="109" spans="2:44">
      <c r="B109" s="11"/>
      <c r="C109" s="11"/>
      <c r="D109" s="51"/>
      <c r="E109" s="51"/>
      <c r="F109" s="51"/>
      <c r="G109" s="51"/>
      <c r="H109" s="51"/>
      <c r="I109" s="51"/>
      <c r="J109" s="9"/>
      <c r="K109" s="9"/>
      <c r="L109" s="9"/>
      <c r="M109" s="9"/>
      <c r="N109" s="51"/>
      <c r="O109" s="73"/>
      <c r="P109" s="82"/>
      <c r="Q109" s="73"/>
      <c r="R109" s="73"/>
      <c r="S109" s="51"/>
      <c r="T109" s="11"/>
      <c r="U109" s="11"/>
      <c r="V109" s="11"/>
      <c r="W109" s="11"/>
      <c r="X109" s="51"/>
      <c r="Y109" s="51"/>
      <c r="Z109" s="51"/>
      <c r="AA109" s="51"/>
      <c r="AB109" s="51"/>
      <c r="AC109" s="51"/>
      <c r="AD109" s="4"/>
      <c r="AE109" s="4"/>
      <c r="AF109" s="4"/>
      <c r="AG109" s="4"/>
      <c r="AH109" s="51"/>
      <c r="AI109" s="4"/>
      <c r="AJ109" s="4"/>
      <c r="AK109" s="4"/>
      <c r="AL109" s="4"/>
      <c r="AM109" s="51"/>
      <c r="AN109" s="4"/>
      <c r="AO109" s="4"/>
      <c r="AP109" s="4"/>
      <c r="AQ109" s="4"/>
      <c r="AR109" s="51"/>
    </row>
  </sheetData>
  <sheetProtection formatCells="0" formatColumns="0" formatRows="0"/>
  <mergeCells count="35">
    <mergeCell ref="AE88:AF88"/>
    <mergeCell ref="AJ88:AK88"/>
    <mergeCell ref="AO88:AP88"/>
    <mergeCell ref="F88:G88"/>
    <mergeCell ref="K88:L88"/>
    <mergeCell ref="P88:Q88"/>
    <mergeCell ref="U88:V88"/>
    <mergeCell ref="Z88:AA88"/>
    <mergeCell ref="AE33:AF33"/>
    <mergeCell ref="AJ33:AK33"/>
    <mergeCell ref="AO33:AP33"/>
    <mergeCell ref="F60:G60"/>
    <mergeCell ref="K60:L60"/>
    <mergeCell ref="P60:Q60"/>
    <mergeCell ref="U60:V60"/>
    <mergeCell ref="Z60:AA60"/>
    <mergeCell ref="AE60:AF60"/>
    <mergeCell ref="AJ60:AK60"/>
    <mergeCell ref="F33:G33"/>
    <mergeCell ref="K33:L33"/>
    <mergeCell ref="P33:Q33"/>
    <mergeCell ref="U33:V33"/>
    <mergeCell ref="Z33:AA33"/>
    <mergeCell ref="AO60:AP60"/>
    <mergeCell ref="AJ7:AK7"/>
    <mergeCell ref="AO7:AP7"/>
    <mergeCell ref="F32:G32"/>
    <mergeCell ref="K32:L32"/>
    <mergeCell ref="P32:Q32"/>
    <mergeCell ref="F7:G7"/>
    <mergeCell ref="K7:L7"/>
    <mergeCell ref="P7:Q7"/>
    <mergeCell ref="U7:V7"/>
    <mergeCell ref="Z7:AA7"/>
    <mergeCell ref="AE7:AF7"/>
  </mergeCells>
  <pageMargins left="0.19685039370078741" right="0.19685039370078741" top="0.19685039370078741" bottom="0.19685039370078741" header="0" footer="0"/>
  <pageSetup paperSize="9" scale="44" orientation="landscape" r:id="rId1"/>
  <headerFooter alignWithMargins="0"/>
  <customProperties>
    <customPr name="WORKBKFUNCTIONCACH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2695312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516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2285</v>
      </c>
      <c r="C4" s="175">
        <v>2236</v>
      </c>
      <c r="D4" s="175">
        <v>2138</v>
      </c>
      <c r="E4" s="175">
        <v>2081</v>
      </c>
      <c r="F4" s="175">
        <v>2042</v>
      </c>
      <c r="G4" s="175">
        <v>2010</v>
      </c>
      <c r="H4" s="175">
        <v>1803</v>
      </c>
      <c r="I4" s="175">
        <v>1525</v>
      </c>
    </row>
    <row r="5" spans="1:16384" ht="18" customHeight="1">
      <c r="A5" s="159" t="s">
        <v>487</v>
      </c>
      <c r="B5" s="172">
        <v>45.9</v>
      </c>
      <c r="C5" s="172">
        <v>44.9</v>
      </c>
      <c r="D5" s="172">
        <v>43.1</v>
      </c>
      <c r="E5" s="172">
        <v>43.6</v>
      </c>
      <c r="F5" s="172">
        <v>44.2</v>
      </c>
      <c r="G5" s="172">
        <v>44</v>
      </c>
      <c r="H5" s="172">
        <v>49.9</v>
      </c>
      <c r="I5" s="172">
        <v>49</v>
      </c>
    </row>
    <row r="6" spans="1:16384" ht="18" customHeight="1">
      <c r="A6" s="159" t="s">
        <v>488</v>
      </c>
      <c r="B6" s="172">
        <v>0.25</v>
      </c>
      <c r="C6" s="172">
        <v>0</v>
      </c>
      <c r="D6" s="172">
        <v>0.1</v>
      </c>
      <c r="E6" s="172">
        <v>0.125</v>
      </c>
      <c r="F6" s="172">
        <v>0.125</v>
      </c>
      <c r="G6" s="172">
        <v>0</v>
      </c>
      <c r="H6" s="172">
        <v>45</v>
      </c>
      <c r="I6" s="172">
        <v>43</v>
      </c>
    </row>
    <row r="7" spans="1:16384" ht="18" customHeight="1">
      <c r="A7" s="167" t="s">
        <v>483</v>
      </c>
      <c r="B7" s="175">
        <v>185</v>
      </c>
      <c r="C7" s="172" t="s">
        <v>510</v>
      </c>
      <c r="D7" s="172">
        <v>376</v>
      </c>
      <c r="E7" s="172">
        <v>285</v>
      </c>
      <c r="F7" s="172">
        <v>339</v>
      </c>
      <c r="G7" s="172">
        <v>354</v>
      </c>
      <c r="H7" s="172">
        <v>568</v>
      </c>
      <c r="I7" s="172">
        <v>240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7"/>
      <c r="G9" s="187"/>
      <c r="H9" s="187"/>
      <c r="I9" s="187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>
        <v>0.81</v>
      </c>
      <c r="C12" s="173">
        <v>0.59</v>
      </c>
      <c r="D12" s="173">
        <v>0</v>
      </c>
      <c r="E12" s="173">
        <v>0</v>
      </c>
      <c r="F12" s="173">
        <v>0.23</v>
      </c>
      <c r="G12" s="173">
        <v>0</v>
      </c>
      <c r="H12" s="173">
        <v>0</v>
      </c>
      <c r="I12" s="173">
        <v>0</v>
      </c>
    </row>
    <row r="13" spans="1:16384" ht="18" customHeight="1">
      <c r="A13" s="159" t="s">
        <v>501</v>
      </c>
      <c r="B13" s="173">
        <v>1.34</v>
      </c>
      <c r="C13" s="173">
        <v>1.1299999999999999</v>
      </c>
      <c r="D13" s="174">
        <v>1.22</v>
      </c>
      <c r="E13" s="173">
        <v>0.93</v>
      </c>
      <c r="F13" s="173">
        <v>0.95</v>
      </c>
      <c r="G13" s="173">
        <v>1.04</v>
      </c>
      <c r="H13" s="173">
        <v>1.1000000000000001</v>
      </c>
      <c r="I13" s="173">
        <v>1.08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77"/>
      <c r="G15" s="177"/>
      <c r="H15" s="177"/>
      <c r="I15" s="177"/>
    </row>
    <row r="16" spans="1:16384" ht="18" customHeight="1">
      <c r="A16" s="163" t="s">
        <v>494</v>
      </c>
      <c r="B16" s="175" t="s">
        <v>510</v>
      </c>
      <c r="C16" s="175" t="s">
        <v>510</v>
      </c>
      <c r="D16" s="175" t="s">
        <v>510</v>
      </c>
      <c r="E16" s="175">
        <v>1143</v>
      </c>
      <c r="F16" s="175">
        <v>2050</v>
      </c>
      <c r="G16" s="175">
        <v>2688</v>
      </c>
      <c r="H16" s="175">
        <v>2067</v>
      </c>
      <c r="I16" s="175">
        <v>2594</v>
      </c>
    </row>
    <row r="17" spans="1:10" ht="18" customHeight="1">
      <c r="A17" s="159" t="s">
        <v>476</v>
      </c>
      <c r="B17" s="175">
        <v>199</v>
      </c>
      <c r="C17" s="175">
        <v>143</v>
      </c>
      <c r="D17" s="175">
        <v>421</v>
      </c>
      <c r="E17" s="175">
        <v>916</v>
      </c>
      <c r="F17" s="175">
        <v>984</v>
      </c>
      <c r="G17" s="175">
        <v>848</v>
      </c>
      <c r="H17" s="175">
        <v>464</v>
      </c>
      <c r="I17" s="175">
        <v>460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1</v>
      </c>
      <c r="F18" s="172">
        <v>0</v>
      </c>
      <c r="G18" s="172">
        <v>1</v>
      </c>
      <c r="H18" s="172">
        <v>0</v>
      </c>
      <c r="I18" s="172">
        <v>0</v>
      </c>
    </row>
    <row r="19" spans="1:10" ht="18" customHeight="1">
      <c r="A19" s="163" t="s">
        <v>493</v>
      </c>
      <c r="B19" s="172">
        <v>100</v>
      </c>
      <c r="C19" s="172">
        <v>50</v>
      </c>
      <c r="D19" s="172">
        <v>100</v>
      </c>
      <c r="E19" s="172">
        <v>100</v>
      </c>
      <c r="F19" s="172">
        <v>100</v>
      </c>
      <c r="G19" s="172">
        <v>100</v>
      </c>
      <c r="H19" s="172">
        <v>100</v>
      </c>
      <c r="I19" s="172">
        <v>100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77"/>
      <c r="G21" s="177"/>
      <c r="H21" s="177"/>
      <c r="I21" s="177"/>
      <c r="J21" s="171"/>
    </row>
    <row r="22" spans="1:10" ht="18" customHeight="1">
      <c r="A22" s="163" t="s">
        <v>514</v>
      </c>
      <c r="B22" s="175">
        <v>126998.47170919999</v>
      </c>
      <c r="C22" s="175">
        <v>125696.73435591001</v>
      </c>
      <c r="D22" s="175">
        <v>134257.38359403997</v>
      </c>
      <c r="E22" s="175">
        <v>134710.34210815301</v>
      </c>
      <c r="F22" s="175">
        <v>141129.59267984799</v>
      </c>
      <c r="G22" s="175">
        <v>157970</v>
      </c>
      <c r="H22" s="175">
        <v>182449.62695146701</v>
      </c>
      <c r="I22" s="175">
        <v>177346.75160026699</v>
      </c>
      <c r="J22" s="171"/>
    </row>
    <row r="23" spans="1:10" ht="18" customHeight="1">
      <c r="A23" s="163" t="s">
        <v>513</v>
      </c>
      <c r="B23" s="175">
        <v>18508.4375507</v>
      </c>
      <c r="C23" s="175">
        <v>19575.97389591</v>
      </c>
      <c r="D23" s="175">
        <v>20730.72148444</v>
      </c>
      <c r="E23" s="175">
        <v>22035.024587953001</v>
      </c>
      <c r="F23" s="175">
        <v>25603.591414447998</v>
      </c>
      <c r="G23" s="175">
        <v>24262</v>
      </c>
      <c r="H23" s="175">
        <v>26945.390083066999</v>
      </c>
      <c r="I23" s="175">
        <v>9744.4237636670005</v>
      </c>
    </row>
    <row r="24" spans="1:10" ht="18" customHeight="1">
      <c r="A24" s="163" t="s">
        <v>511</v>
      </c>
      <c r="B24" s="175">
        <v>106999.2</v>
      </c>
      <c r="C24" s="175">
        <v>104585.7846</v>
      </c>
      <c r="D24" s="175">
        <v>112193.7882</v>
      </c>
      <c r="E24" s="175">
        <v>111584.76</v>
      </c>
      <c r="F24" s="175">
        <v>113614.39999999999</v>
      </c>
      <c r="G24" s="175">
        <v>131926</v>
      </c>
      <c r="H24" s="175">
        <v>153776.34</v>
      </c>
      <c r="I24" s="175">
        <v>166003.5</v>
      </c>
    </row>
    <row r="25" spans="1:10" ht="18" customHeight="1">
      <c r="A25" s="163" t="s">
        <v>512</v>
      </c>
      <c r="B25" s="175">
        <v>1490.8341585000001</v>
      </c>
      <c r="C25" s="175">
        <v>1534.97586</v>
      </c>
      <c r="D25" s="175">
        <v>1332.8739095999999</v>
      </c>
      <c r="E25" s="175">
        <v>1090.5575202</v>
      </c>
      <c r="F25" s="175">
        <v>1911.5547551999998</v>
      </c>
      <c r="G25" s="175">
        <v>1782</v>
      </c>
      <c r="H25" s="175">
        <v>1727.8968684000001</v>
      </c>
      <c r="I25" s="175">
        <v>1598.8278366</v>
      </c>
    </row>
    <row r="26" spans="1:10" ht="18" customHeight="1">
      <c r="A26" s="163" t="s">
        <v>492</v>
      </c>
      <c r="B26" s="175">
        <v>239.1</v>
      </c>
      <c r="C26" s="175">
        <v>241.2</v>
      </c>
      <c r="D26" s="175">
        <v>246.5</v>
      </c>
      <c r="E26" s="175">
        <v>260.89999999999998</v>
      </c>
      <c r="F26" s="175">
        <v>284.39999999999998</v>
      </c>
      <c r="G26" s="175">
        <v>304</v>
      </c>
      <c r="H26" s="175">
        <v>349.29882202856004</v>
      </c>
      <c r="I26" s="175">
        <v>303.39978974584</v>
      </c>
    </row>
    <row r="27" spans="1:10" ht="18" customHeight="1">
      <c r="A27" s="170" t="s">
        <v>505</v>
      </c>
      <c r="B27" s="178">
        <v>1.02</v>
      </c>
      <c r="C27" s="178">
        <v>0.93</v>
      </c>
      <c r="D27" s="178">
        <v>1</v>
      </c>
      <c r="E27" s="178">
        <v>1.04</v>
      </c>
      <c r="F27" s="178">
        <v>1.17</v>
      </c>
      <c r="G27" s="178">
        <v>1.4</v>
      </c>
      <c r="H27" s="178">
        <v>1.56867960711084</v>
      </c>
      <c r="I27" s="178">
        <v>2.0312198185821901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75">
        <v>0</v>
      </c>
      <c r="C30" s="175">
        <v>653</v>
      </c>
      <c r="D30" s="175">
        <v>758</v>
      </c>
      <c r="E30" s="175">
        <v>124</v>
      </c>
      <c r="F30" s="175">
        <v>182</v>
      </c>
      <c r="G30" s="175">
        <v>764</v>
      </c>
      <c r="H30" s="175">
        <v>180</v>
      </c>
      <c r="I30" s="175">
        <v>1000</v>
      </c>
    </row>
    <row r="31" spans="1:10" ht="18" customHeight="1">
      <c r="A31" s="163" t="s">
        <v>502</v>
      </c>
      <c r="B31" s="175">
        <v>90838</v>
      </c>
      <c r="C31" s="175">
        <v>96074</v>
      </c>
      <c r="D31" s="175">
        <v>90821</v>
      </c>
      <c r="E31" s="175">
        <v>111054</v>
      </c>
      <c r="F31" s="175">
        <v>118866</v>
      </c>
      <c r="G31" s="175">
        <v>101328</v>
      </c>
      <c r="H31" s="175">
        <v>102738</v>
      </c>
      <c r="I31" s="175">
        <v>93770</v>
      </c>
    </row>
    <row r="32" spans="1:10" ht="18" customHeight="1">
      <c r="A32" s="163" t="s">
        <v>480</v>
      </c>
      <c r="B32" s="175">
        <v>393</v>
      </c>
      <c r="C32" s="175">
        <v>346</v>
      </c>
      <c r="D32" s="175">
        <v>338</v>
      </c>
      <c r="E32" s="175">
        <v>334</v>
      </c>
      <c r="F32" s="175">
        <v>308</v>
      </c>
      <c r="G32" s="175">
        <v>285</v>
      </c>
      <c r="H32" s="175">
        <v>284</v>
      </c>
      <c r="I32" s="175">
        <v>281</v>
      </c>
    </row>
    <row r="33" spans="1:9" ht="18" customHeight="1">
      <c r="A33" s="163" t="s">
        <v>481</v>
      </c>
      <c r="B33" s="175">
        <v>2.68</v>
      </c>
      <c r="C33" s="175">
        <v>2</v>
      </c>
      <c r="D33" s="175">
        <v>1.4</v>
      </c>
      <c r="E33" s="175">
        <v>5.76</v>
      </c>
      <c r="F33" s="175">
        <v>4.47</v>
      </c>
      <c r="G33" s="175">
        <v>5</v>
      </c>
      <c r="H33" s="175">
        <v>2.1</v>
      </c>
      <c r="I33" s="175">
        <v>2.1</v>
      </c>
    </row>
    <row r="34" spans="1:9" ht="18" customHeight="1">
      <c r="A34" s="163" t="s">
        <v>491</v>
      </c>
      <c r="B34" s="175">
        <v>495</v>
      </c>
      <c r="C34" s="175">
        <v>1626</v>
      </c>
      <c r="D34" s="175">
        <v>3338</v>
      </c>
      <c r="E34" s="175">
        <v>343</v>
      </c>
      <c r="F34" s="175">
        <v>18</v>
      </c>
      <c r="G34" s="175">
        <v>69</v>
      </c>
      <c r="H34" s="175">
        <v>77</v>
      </c>
      <c r="I34" s="175">
        <v>30</v>
      </c>
    </row>
    <row r="35" spans="1:9" ht="22.5" customHeight="1">
      <c r="A35" s="163" t="s">
        <v>482</v>
      </c>
      <c r="B35" s="175">
        <v>32.9</v>
      </c>
      <c r="C35" s="175">
        <v>21.23</v>
      </c>
      <c r="D35" s="175">
        <v>94.28</v>
      </c>
      <c r="E35" s="175">
        <v>75.8</v>
      </c>
      <c r="F35" s="175">
        <v>15.3</v>
      </c>
      <c r="G35" s="175">
        <v>58</v>
      </c>
      <c r="H35" s="175">
        <v>67.5</v>
      </c>
      <c r="I35" s="175">
        <v>100</v>
      </c>
    </row>
    <row r="36" spans="1:9" ht="31.5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5429687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387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4899</v>
      </c>
      <c r="C4" s="175">
        <v>4519</v>
      </c>
      <c r="D4" s="175">
        <v>4663</v>
      </c>
      <c r="E4" s="175">
        <v>5544</v>
      </c>
      <c r="F4" s="175">
        <v>3992</v>
      </c>
      <c r="G4" s="175">
        <v>3058</v>
      </c>
      <c r="H4" s="175">
        <v>2769</v>
      </c>
      <c r="I4" s="175">
        <v>2385</v>
      </c>
    </row>
    <row r="5" spans="1:16384" ht="18" customHeight="1">
      <c r="A5" s="159" t="s">
        <v>487</v>
      </c>
      <c r="B5" s="172">
        <v>0.2</v>
      </c>
      <c r="C5" s="172">
        <v>0.2</v>
      </c>
      <c r="D5" s="172">
        <v>24.9</v>
      </c>
      <c r="E5" s="172">
        <v>27</v>
      </c>
      <c r="F5" s="172">
        <v>22.6</v>
      </c>
      <c r="G5" s="172">
        <v>19</v>
      </c>
      <c r="H5" s="172">
        <v>16.8</v>
      </c>
      <c r="I5" s="172">
        <v>16</v>
      </c>
    </row>
    <row r="6" spans="1:16384" ht="18" customHeight="1">
      <c r="A6" s="159" t="s">
        <v>488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0</v>
      </c>
      <c r="H6" s="172">
        <v>8</v>
      </c>
      <c r="I6" s="172">
        <v>8</v>
      </c>
    </row>
    <row r="7" spans="1:16384" ht="18" customHeight="1">
      <c r="A7" s="167" t="s">
        <v>483</v>
      </c>
      <c r="B7" s="175">
        <v>433</v>
      </c>
      <c r="C7" s="175" t="s">
        <v>510</v>
      </c>
      <c r="D7" s="175">
        <v>759</v>
      </c>
      <c r="E7" s="175">
        <v>1332</v>
      </c>
      <c r="F7" s="175">
        <v>2109</v>
      </c>
      <c r="G7" s="175">
        <v>2943</v>
      </c>
      <c r="H7" s="175">
        <v>122</v>
      </c>
      <c r="I7" s="175">
        <v>189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1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>
        <v>0.28000000000000003</v>
      </c>
      <c r="C12" s="173">
        <v>0.21</v>
      </c>
      <c r="D12" s="173">
        <v>0.79</v>
      </c>
      <c r="E12" s="173">
        <v>0.41</v>
      </c>
      <c r="F12" s="173">
        <v>0.89</v>
      </c>
      <c r="G12" s="173">
        <v>1.17</v>
      </c>
      <c r="H12" s="173">
        <v>0</v>
      </c>
      <c r="I12" s="173">
        <v>0.45</v>
      </c>
    </row>
    <row r="13" spans="1:16384" ht="18" customHeight="1">
      <c r="A13" s="159" t="s">
        <v>501</v>
      </c>
      <c r="B13" s="173">
        <v>1.23</v>
      </c>
      <c r="C13" s="173">
        <v>0.88</v>
      </c>
      <c r="D13" s="173">
        <v>1.17</v>
      </c>
      <c r="E13" s="173">
        <v>0.87</v>
      </c>
      <c r="F13" s="173">
        <v>1.1499999999999999</v>
      </c>
      <c r="G13" s="173">
        <v>1.35</v>
      </c>
      <c r="H13" s="173">
        <v>1.48</v>
      </c>
      <c r="I13" s="173">
        <v>1.55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8" customHeight="1">
      <c r="A16" s="163" t="s">
        <v>494</v>
      </c>
      <c r="B16" s="175" t="s">
        <v>510</v>
      </c>
      <c r="C16" s="175" t="s">
        <v>510</v>
      </c>
      <c r="D16" s="175" t="s">
        <v>510</v>
      </c>
      <c r="E16" s="175">
        <v>1196</v>
      </c>
      <c r="F16" s="175">
        <v>3284</v>
      </c>
      <c r="G16" s="175">
        <v>5101</v>
      </c>
      <c r="H16" s="175">
        <v>6139</v>
      </c>
      <c r="I16" s="175">
        <v>8300</v>
      </c>
    </row>
    <row r="17" spans="1:10" ht="18" customHeight="1">
      <c r="A17" s="159" t="s">
        <v>476</v>
      </c>
      <c r="B17" s="175">
        <v>425</v>
      </c>
      <c r="C17" s="175">
        <v>303</v>
      </c>
      <c r="D17" s="175">
        <v>351</v>
      </c>
      <c r="E17" s="175">
        <v>781</v>
      </c>
      <c r="F17" s="175">
        <v>898</v>
      </c>
      <c r="G17" s="175">
        <v>1011</v>
      </c>
      <c r="H17" s="175">
        <v>905</v>
      </c>
      <c r="I17" s="175">
        <v>801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3</v>
      </c>
      <c r="E18" s="172">
        <v>9</v>
      </c>
      <c r="F18" s="172">
        <v>4</v>
      </c>
      <c r="G18" s="172">
        <v>1</v>
      </c>
      <c r="H18" s="172">
        <v>0</v>
      </c>
      <c r="I18" s="172">
        <v>2</v>
      </c>
    </row>
    <row r="19" spans="1:10" ht="18" customHeight="1">
      <c r="A19" s="163" t="s">
        <v>493</v>
      </c>
      <c r="B19" s="172">
        <v>65.63</v>
      </c>
      <c r="C19" s="172">
        <v>69.569999999999993</v>
      </c>
      <c r="D19" s="172">
        <v>18.600000000000001</v>
      </c>
      <c r="E19" s="172">
        <v>23.94</v>
      </c>
      <c r="F19" s="172">
        <v>100</v>
      </c>
      <c r="G19" s="172">
        <v>100</v>
      </c>
      <c r="H19" s="172">
        <v>100</v>
      </c>
      <c r="I19" s="172">
        <v>100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  <c r="J21" s="171"/>
    </row>
    <row r="22" spans="1:10" ht="18" customHeight="1">
      <c r="A22" s="163" t="s">
        <v>514</v>
      </c>
      <c r="B22" s="175">
        <v>126967.90934919998</v>
      </c>
      <c r="C22" s="175">
        <v>123608.26412544001</v>
      </c>
      <c r="D22" s="175">
        <v>126827.30123818001</v>
      </c>
      <c r="E22" s="175">
        <v>131887.105670422</v>
      </c>
      <c r="F22" s="175">
        <v>174788.60188646868</v>
      </c>
      <c r="G22" s="175">
        <v>182234</v>
      </c>
      <c r="H22" s="175">
        <v>185661.72945371599</v>
      </c>
      <c r="I22" s="175">
        <v>190142.4364151</v>
      </c>
      <c r="J22" s="171"/>
    </row>
    <row r="23" spans="1:10" ht="18" customHeight="1">
      <c r="A23" s="163" t="s">
        <v>513</v>
      </c>
      <c r="B23" s="175">
        <v>31999.639389199998</v>
      </c>
      <c r="C23" s="175">
        <v>27276.261529440002</v>
      </c>
      <c r="D23" s="175">
        <v>25756.563926180002</v>
      </c>
      <c r="E23" s="175">
        <v>24223.938370422002</v>
      </c>
      <c r="F23" s="175">
        <v>28639.1174746047</v>
      </c>
      <c r="G23" s="175">
        <v>18825</v>
      </c>
      <c r="H23" s="175">
        <v>21149.921070599998</v>
      </c>
      <c r="I23" s="175">
        <v>21487.681423099999</v>
      </c>
    </row>
    <row r="24" spans="1:10" ht="18" customHeight="1">
      <c r="A24" s="163" t="s">
        <v>511</v>
      </c>
      <c r="B24" s="175">
        <v>93545.12</v>
      </c>
      <c r="C24" s="175">
        <v>95226.456000000006</v>
      </c>
      <c r="D24" s="175">
        <v>97872.74</v>
      </c>
      <c r="E24" s="175">
        <v>104558.17</v>
      </c>
      <c r="F24" s="175">
        <v>143091.428903864</v>
      </c>
      <c r="G24" s="175">
        <v>161593</v>
      </c>
      <c r="H24" s="175">
        <v>163232.01498311601</v>
      </c>
      <c r="I24" s="175">
        <v>166624.34115600001</v>
      </c>
    </row>
    <row r="25" spans="1:10" ht="18" customHeight="1">
      <c r="A25" s="163" t="s">
        <v>512</v>
      </c>
      <c r="B25" s="175">
        <v>1423.14996</v>
      </c>
      <c r="C25" s="175">
        <v>1105.5465959999999</v>
      </c>
      <c r="D25" s="175">
        <v>3197.997312</v>
      </c>
      <c r="E25" s="175">
        <v>3104.9973</v>
      </c>
      <c r="F25" s="175">
        <v>3058.0555079999999</v>
      </c>
      <c r="G25" s="175">
        <v>1816</v>
      </c>
      <c r="H25" s="175">
        <v>1279.7934</v>
      </c>
      <c r="I25" s="175">
        <v>2030.4138359999999</v>
      </c>
    </row>
    <row r="26" spans="1:10" ht="18" customHeight="1">
      <c r="A26" s="163" t="s">
        <v>492</v>
      </c>
      <c r="B26" s="175">
        <v>330.8</v>
      </c>
      <c r="C26" s="175">
        <v>308.8</v>
      </c>
      <c r="D26" s="175">
        <v>322.3</v>
      </c>
      <c r="E26" s="175">
        <v>314.3</v>
      </c>
      <c r="F26" s="175">
        <v>400.2</v>
      </c>
      <c r="G26" s="175">
        <v>378</v>
      </c>
      <c r="H26" s="175">
        <v>398.80779923325002</v>
      </c>
      <c r="I26" s="175">
        <v>447.58605504399998</v>
      </c>
    </row>
    <row r="27" spans="1:10" ht="18" customHeight="1">
      <c r="A27" s="170" t="s">
        <v>505</v>
      </c>
      <c r="B27" s="178">
        <v>2.11</v>
      </c>
      <c r="C27" s="178">
        <v>2.14</v>
      </c>
      <c r="D27" s="178">
        <v>2.06</v>
      </c>
      <c r="E27" s="178">
        <v>2.25</v>
      </c>
      <c r="F27" s="178">
        <v>2.8</v>
      </c>
      <c r="G27" s="178">
        <v>2.4</v>
      </c>
      <c r="H27" s="178">
        <v>2.8790381209845299</v>
      </c>
      <c r="I27" s="178">
        <v>2.8790381209845299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75">
        <v>0</v>
      </c>
      <c r="C30" s="175">
        <v>0</v>
      </c>
      <c r="D30" s="175">
        <v>0</v>
      </c>
      <c r="E30" s="175">
        <v>0</v>
      </c>
      <c r="F30" s="175">
        <v>0</v>
      </c>
      <c r="G30" s="175">
        <v>1466</v>
      </c>
      <c r="H30" s="175">
        <v>0</v>
      </c>
      <c r="I30" s="175">
        <v>0</v>
      </c>
    </row>
    <row r="31" spans="1:10" ht="18" customHeight="1">
      <c r="A31" s="163" t="s">
        <v>502</v>
      </c>
      <c r="B31" s="175">
        <v>96357</v>
      </c>
      <c r="C31" s="175">
        <v>100955</v>
      </c>
      <c r="D31" s="175">
        <v>117940</v>
      </c>
      <c r="E31" s="175">
        <v>111750</v>
      </c>
      <c r="F31" s="175">
        <v>185268</v>
      </c>
      <c r="G31" s="175">
        <v>127493</v>
      </c>
      <c r="H31" s="175">
        <v>179039</v>
      </c>
      <c r="I31" s="175">
        <v>173008</v>
      </c>
    </row>
    <row r="32" spans="1:10" ht="18" customHeight="1">
      <c r="A32" s="163" t="s">
        <v>480</v>
      </c>
      <c r="B32" s="175">
        <v>250</v>
      </c>
      <c r="C32" s="175">
        <v>169</v>
      </c>
      <c r="D32" s="175">
        <v>129</v>
      </c>
      <c r="E32" s="175">
        <v>134</v>
      </c>
      <c r="F32" s="175">
        <v>129</v>
      </c>
      <c r="G32" s="175">
        <v>138</v>
      </c>
      <c r="H32" s="175">
        <v>145</v>
      </c>
      <c r="I32" s="175">
        <v>111</v>
      </c>
    </row>
    <row r="33" spans="1:9" ht="18" customHeight="1">
      <c r="A33" s="163" t="s">
        <v>481</v>
      </c>
      <c r="B33" s="175">
        <v>0</v>
      </c>
      <c r="C33" s="175">
        <v>0</v>
      </c>
      <c r="D33" s="175">
        <v>0</v>
      </c>
      <c r="E33" s="175">
        <v>0</v>
      </c>
      <c r="F33" s="175">
        <v>0</v>
      </c>
      <c r="G33" s="175">
        <v>0</v>
      </c>
      <c r="H33" s="175">
        <v>0</v>
      </c>
      <c r="I33" s="175">
        <v>0</v>
      </c>
    </row>
    <row r="34" spans="1:9" ht="18" customHeight="1">
      <c r="A34" s="163" t="s">
        <v>491</v>
      </c>
      <c r="B34" s="175">
        <v>611</v>
      </c>
      <c r="C34" s="175">
        <v>3177</v>
      </c>
      <c r="D34" s="175">
        <v>1455</v>
      </c>
      <c r="E34" s="175">
        <v>659</v>
      </c>
      <c r="F34" s="175">
        <v>1634</v>
      </c>
      <c r="G34" s="175">
        <v>955</v>
      </c>
      <c r="H34" s="175">
        <v>1142</v>
      </c>
      <c r="I34" s="175">
        <v>1451</v>
      </c>
    </row>
    <row r="35" spans="1:9" ht="21.75" customHeight="1">
      <c r="A35" s="163" t="s">
        <v>482</v>
      </c>
      <c r="B35" s="175">
        <v>35.799999999999997</v>
      </c>
      <c r="C35" s="175">
        <v>86.4</v>
      </c>
      <c r="D35" s="175">
        <v>75.81</v>
      </c>
      <c r="E35" s="175">
        <v>100</v>
      </c>
      <c r="F35" s="175">
        <v>94.73</v>
      </c>
      <c r="G35" s="175">
        <v>92</v>
      </c>
      <c r="H35" s="175">
        <v>98.2</v>
      </c>
      <c r="I35" s="175">
        <v>98.2</v>
      </c>
    </row>
    <row r="36" spans="1:9" ht="27.75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5429687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6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3751</v>
      </c>
      <c r="C4" s="175">
        <v>2715</v>
      </c>
      <c r="D4" s="175">
        <v>2406</v>
      </c>
      <c r="E4" s="175">
        <v>2715</v>
      </c>
      <c r="F4" s="175">
        <v>2721</v>
      </c>
      <c r="G4" s="175">
        <v>2362</v>
      </c>
      <c r="H4" s="175">
        <v>2321</v>
      </c>
      <c r="I4" s="175">
        <v>1547</v>
      </c>
    </row>
    <row r="5" spans="1:16384" ht="18" customHeight="1">
      <c r="A5" s="159" t="s">
        <v>487</v>
      </c>
      <c r="B5" s="172">
        <v>17.399999999999999</v>
      </c>
      <c r="C5" s="172">
        <v>17.7</v>
      </c>
      <c r="D5" s="172">
        <v>16.399999999999999</v>
      </c>
      <c r="E5" s="172">
        <v>17.7</v>
      </c>
      <c r="F5" s="172">
        <v>19.399999999999999</v>
      </c>
      <c r="G5" s="172">
        <v>19</v>
      </c>
      <c r="H5" s="172">
        <v>20.7</v>
      </c>
      <c r="I5" s="172">
        <v>21</v>
      </c>
    </row>
    <row r="6" spans="1:16384" ht="18" customHeight="1">
      <c r="A6" s="159" t="s">
        <v>488</v>
      </c>
      <c r="B6" s="172">
        <v>0</v>
      </c>
      <c r="C6" s="172">
        <v>0</v>
      </c>
      <c r="D6" s="172">
        <v>0</v>
      </c>
      <c r="E6" s="172">
        <v>0</v>
      </c>
      <c r="F6" s="172">
        <v>12.5</v>
      </c>
      <c r="G6" s="172">
        <v>11</v>
      </c>
      <c r="H6" s="172">
        <v>18</v>
      </c>
      <c r="I6" s="172">
        <v>15</v>
      </c>
    </row>
    <row r="7" spans="1:16384" ht="18" customHeight="1">
      <c r="A7" s="167" t="s">
        <v>483</v>
      </c>
      <c r="B7" s="175">
        <v>286</v>
      </c>
      <c r="C7" s="172">
        <v>694</v>
      </c>
      <c r="D7" s="172">
        <v>325</v>
      </c>
      <c r="E7" s="172">
        <v>694</v>
      </c>
      <c r="F7" s="172">
        <v>498</v>
      </c>
      <c r="G7" s="172">
        <v>664</v>
      </c>
      <c r="H7" s="172">
        <v>492</v>
      </c>
      <c r="I7" s="172">
        <v>407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2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>
        <v>0.21</v>
      </c>
      <c r="C12" s="173">
        <v>0</v>
      </c>
      <c r="D12" s="173">
        <v>0</v>
      </c>
      <c r="E12" s="173">
        <v>0</v>
      </c>
      <c r="F12" s="173">
        <v>0.35</v>
      </c>
      <c r="G12" s="173">
        <v>0</v>
      </c>
      <c r="H12" s="173">
        <v>0</v>
      </c>
      <c r="I12" s="173">
        <v>0.27</v>
      </c>
    </row>
    <row r="13" spans="1:16384" ht="18" customHeight="1">
      <c r="A13" s="159" t="s">
        <v>501</v>
      </c>
      <c r="B13" s="172">
        <v>1.1000000000000001</v>
      </c>
      <c r="C13" s="173">
        <v>0.24</v>
      </c>
      <c r="D13" s="174">
        <v>0.54</v>
      </c>
      <c r="E13" s="173">
        <v>0.24</v>
      </c>
      <c r="F13" s="173">
        <v>0.33</v>
      </c>
      <c r="G13" s="173">
        <v>0.26</v>
      </c>
      <c r="H13" s="173">
        <v>0.43</v>
      </c>
      <c r="I13" s="173">
        <v>0.62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5">
        <v>3346</v>
      </c>
      <c r="F16" s="175">
        <v>4455</v>
      </c>
      <c r="G16" s="175">
        <v>8476</v>
      </c>
      <c r="H16" s="175">
        <v>5477</v>
      </c>
      <c r="I16" s="175">
        <v>7412</v>
      </c>
    </row>
    <row r="17" spans="1:10" ht="18" customHeight="1">
      <c r="A17" s="159" t="s">
        <v>476</v>
      </c>
      <c r="B17" s="172">
        <v>264</v>
      </c>
      <c r="C17" s="172">
        <v>365</v>
      </c>
      <c r="D17" s="172">
        <v>320</v>
      </c>
      <c r="E17" s="172">
        <v>365</v>
      </c>
      <c r="F17" s="172">
        <v>426</v>
      </c>
      <c r="G17" s="172">
        <v>383</v>
      </c>
      <c r="H17" s="172">
        <v>505</v>
      </c>
      <c r="I17" s="172">
        <v>626</v>
      </c>
    </row>
    <row r="18" spans="1:10" ht="18" customHeight="1">
      <c r="A18" s="159" t="s">
        <v>495</v>
      </c>
      <c r="B18" s="172">
        <v>7</v>
      </c>
      <c r="C18" s="172">
        <v>2</v>
      </c>
      <c r="D18" s="172">
        <v>0</v>
      </c>
      <c r="E18" s="172">
        <v>4</v>
      </c>
      <c r="F18" s="172">
        <v>6</v>
      </c>
      <c r="G18" s="172">
        <v>5</v>
      </c>
      <c r="H18" s="172">
        <v>2</v>
      </c>
      <c r="I18" s="172">
        <v>3</v>
      </c>
    </row>
    <row r="19" spans="1:10" ht="18" customHeight="1">
      <c r="A19" s="163" t="s">
        <v>493</v>
      </c>
      <c r="B19" s="172">
        <v>100</v>
      </c>
      <c r="C19" s="172">
        <v>100</v>
      </c>
      <c r="D19" s="172">
        <v>61.3</v>
      </c>
      <c r="E19" s="172">
        <v>100</v>
      </c>
      <c r="F19" s="172">
        <v>100</v>
      </c>
      <c r="G19" s="172">
        <v>98</v>
      </c>
      <c r="H19" s="172">
        <v>98</v>
      </c>
      <c r="I19" s="172">
        <v>78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  <c r="J21" s="171"/>
    </row>
    <row r="22" spans="1:10" ht="18" customHeight="1">
      <c r="A22" s="163" t="s">
        <v>514</v>
      </c>
      <c r="B22" s="175">
        <v>203279.100940042</v>
      </c>
      <c r="C22" s="175">
        <v>182904.02613799999</v>
      </c>
      <c r="D22" s="175">
        <v>139864.68139800002</v>
      </c>
      <c r="E22" s="175">
        <v>141747.50471309997</v>
      </c>
      <c r="F22" s="175">
        <v>178505.0502926</v>
      </c>
      <c r="G22" s="175">
        <v>173828</v>
      </c>
      <c r="H22" s="175">
        <v>171084.25755059702</v>
      </c>
      <c r="I22" s="175">
        <v>171084.25755059699</v>
      </c>
      <c r="J22" s="171"/>
    </row>
    <row r="23" spans="1:10" ht="18" customHeight="1">
      <c r="A23" s="163" t="s">
        <v>513</v>
      </c>
      <c r="B23" s="175">
        <v>132167.748410042</v>
      </c>
      <c r="C23" s="175">
        <v>110574.158738</v>
      </c>
      <c r="D23" s="175">
        <v>65372.895918000002</v>
      </c>
      <c r="E23" s="175">
        <v>54769.735613099998</v>
      </c>
      <c r="F23" s="175">
        <v>62779.380432600003</v>
      </c>
      <c r="G23" s="175">
        <v>54760</v>
      </c>
      <c r="H23" s="175">
        <v>59874.949425396997</v>
      </c>
      <c r="I23" s="175">
        <v>68723.889928379998</v>
      </c>
    </row>
    <row r="24" spans="1:10" ht="18" customHeight="1">
      <c r="A24" s="163" t="s">
        <v>511</v>
      </c>
      <c r="B24" s="175">
        <v>69279.38</v>
      </c>
      <c r="C24" s="175">
        <v>71008.650000000009</v>
      </c>
      <c r="D24" s="175">
        <v>72412.05</v>
      </c>
      <c r="E24" s="175">
        <v>84289.919999999998</v>
      </c>
      <c r="F24" s="175">
        <v>112617.5</v>
      </c>
      <c r="G24" s="175">
        <v>117348</v>
      </c>
      <c r="H24" s="175">
        <v>109628</v>
      </c>
      <c r="I24" s="175">
        <v>124313.28</v>
      </c>
    </row>
    <row r="25" spans="1:10" ht="18" customHeight="1">
      <c r="A25" s="163" t="s">
        <v>512</v>
      </c>
      <c r="B25" s="175">
        <v>1831.97253</v>
      </c>
      <c r="C25" s="175">
        <v>1321.2174</v>
      </c>
      <c r="D25" s="175">
        <v>2079.7354800000003</v>
      </c>
      <c r="E25" s="175">
        <v>2687.8491000000004</v>
      </c>
      <c r="F25" s="175">
        <v>3108.16986</v>
      </c>
      <c r="G25" s="175">
        <v>1720</v>
      </c>
      <c r="H25" s="175">
        <v>1581.3081251999999</v>
      </c>
      <c r="I25" s="175">
        <v>1421.3931600000001</v>
      </c>
    </row>
    <row r="26" spans="1:10" ht="18" customHeight="1">
      <c r="A26" s="163" t="s">
        <v>492</v>
      </c>
      <c r="B26" s="175">
        <v>667.1</v>
      </c>
      <c r="C26" s="175">
        <v>588.4</v>
      </c>
      <c r="D26" s="175">
        <v>437.8</v>
      </c>
      <c r="E26" s="175">
        <v>450.1</v>
      </c>
      <c r="F26" s="175">
        <v>557.29999999999995</v>
      </c>
      <c r="G26" s="175">
        <v>535</v>
      </c>
      <c r="H26" s="175">
        <v>536.84001804408001</v>
      </c>
      <c r="I26" s="175">
        <v>596.76817344000006</v>
      </c>
    </row>
    <row r="27" spans="1:10" ht="18" customHeight="1">
      <c r="A27" s="170" t="s">
        <v>505</v>
      </c>
      <c r="B27" s="178">
        <v>8.07</v>
      </c>
      <c r="C27" s="178">
        <v>4.68</v>
      </c>
      <c r="D27" s="178">
        <v>5.8</v>
      </c>
      <c r="E27" s="178">
        <v>4.68</v>
      </c>
      <c r="F27" s="178">
        <v>5.21</v>
      </c>
      <c r="G27" s="178">
        <v>5.6</v>
      </c>
      <c r="H27" s="178">
        <v>5.7257025120206801</v>
      </c>
      <c r="I27" s="178">
        <v>8.7553824060151193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75">
        <v>0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</row>
    <row r="31" spans="1:10" ht="18" customHeight="1">
      <c r="A31" s="163" t="s">
        <v>502</v>
      </c>
      <c r="B31" s="175" t="s">
        <v>510</v>
      </c>
      <c r="C31" s="175">
        <v>55112</v>
      </c>
      <c r="D31" s="175">
        <v>57306</v>
      </c>
      <c r="E31" s="175">
        <v>55112</v>
      </c>
      <c r="F31" s="175">
        <v>59005</v>
      </c>
      <c r="G31" s="175">
        <v>56001</v>
      </c>
      <c r="H31" s="175">
        <v>53836</v>
      </c>
      <c r="I31" s="175">
        <v>47167</v>
      </c>
    </row>
    <row r="32" spans="1:10" ht="18" customHeight="1">
      <c r="A32" s="163" t="s">
        <v>480</v>
      </c>
      <c r="B32" s="175">
        <v>323</v>
      </c>
      <c r="C32" s="175">
        <v>181</v>
      </c>
      <c r="D32" s="175">
        <v>309</v>
      </c>
      <c r="E32" s="175">
        <v>181</v>
      </c>
      <c r="F32" s="175">
        <v>175</v>
      </c>
      <c r="G32" s="175">
        <v>254</v>
      </c>
      <c r="H32" s="175">
        <v>159</v>
      </c>
      <c r="I32" s="175">
        <v>418</v>
      </c>
    </row>
    <row r="33" spans="1:9" ht="18" customHeight="1">
      <c r="A33" s="163" t="s">
        <v>481</v>
      </c>
      <c r="B33" s="175">
        <v>9.24</v>
      </c>
      <c r="C33" s="175">
        <v>52.35</v>
      </c>
      <c r="D33" s="175">
        <v>52.3</v>
      </c>
      <c r="E33" s="175">
        <v>52.35</v>
      </c>
      <c r="F33" s="175">
        <v>41.5</v>
      </c>
      <c r="G33" s="175">
        <v>57</v>
      </c>
      <c r="H33" s="175">
        <v>80</v>
      </c>
      <c r="I33" s="175">
        <v>91</v>
      </c>
    </row>
    <row r="34" spans="1:9" ht="18" customHeight="1">
      <c r="A34" s="163" t="s">
        <v>491</v>
      </c>
      <c r="B34" s="175">
        <v>1597</v>
      </c>
      <c r="C34" s="175">
        <v>1300</v>
      </c>
      <c r="D34" s="175">
        <v>1953</v>
      </c>
      <c r="E34" s="175">
        <v>1300</v>
      </c>
      <c r="F34" s="175">
        <v>1129</v>
      </c>
      <c r="G34" s="175">
        <v>2090</v>
      </c>
      <c r="H34" s="175">
        <v>1705</v>
      </c>
      <c r="I34" s="175">
        <v>1317</v>
      </c>
    </row>
    <row r="35" spans="1:9" ht="22.5" customHeight="1">
      <c r="A35" s="163" t="s">
        <v>482</v>
      </c>
      <c r="B35" s="175">
        <v>73.62</v>
      </c>
      <c r="C35" s="175">
        <v>100</v>
      </c>
      <c r="D35" s="175">
        <v>100</v>
      </c>
      <c r="E35" s="175">
        <v>100</v>
      </c>
      <c r="F35" s="175">
        <v>100</v>
      </c>
      <c r="G35" s="175">
        <v>100</v>
      </c>
      <c r="H35" s="175">
        <v>100</v>
      </c>
      <c r="I35" s="175">
        <v>100</v>
      </c>
    </row>
    <row r="36" spans="1:9" ht="28.5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C37"/>
  <sheetViews>
    <sheetView view="pageBreakPreview" zoomScaleNormal="100" zoomScaleSheetLayoutView="100" workbookViewId="0"/>
  </sheetViews>
  <sheetFormatPr defaultColWidth="11.453125" defaultRowHeight="12.5"/>
  <cols>
    <col min="1" max="1" width="68.26953125" style="56" customWidth="1"/>
    <col min="2" max="7" width="11.7265625" style="56" customWidth="1"/>
    <col min="8" max="16384" width="11.453125" style="56"/>
  </cols>
  <sheetData>
    <row r="1" spans="1:16383" ht="16" thickBot="1">
      <c r="A1" s="149" t="s">
        <v>419</v>
      </c>
      <c r="B1" s="150"/>
      <c r="C1" s="150"/>
      <c r="D1" s="150"/>
      <c r="E1" s="150"/>
      <c r="F1" s="150"/>
      <c r="G1" s="151"/>
    </row>
    <row r="2" spans="1:16383" ht="28.5" customHeight="1">
      <c r="A2" s="168" t="s">
        <v>489</v>
      </c>
      <c r="B2" s="154">
        <v>2014</v>
      </c>
      <c r="C2" s="155">
        <v>2015</v>
      </c>
      <c r="D2" s="156">
        <v>2016</v>
      </c>
      <c r="E2" s="188">
        <v>2017</v>
      </c>
      <c r="F2" s="189">
        <v>2018</v>
      </c>
      <c r="G2" s="191">
        <v>2019</v>
      </c>
    </row>
    <row r="3" spans="1:16383" ht="15.75" customHeight="1">
      <c r="A3" s="164" t="s">
        <v>474</v>
      </c>
      <c r="B3" s="165"/>
      <c r="C3" s="165"/>
      <c r="D3" s="165"/>
      <c r="E3" s="165"/>
      <c r="F3" s="165"/>
      <c r="G3" s="165"/>
    </row>
    <row r="4" spans="1:16383" ht="18" customHeight="1">
      <c r="A4" s="159" t="s">
        <v>486</v>
      </c>
      <c r="B4" s="175">
        <v>452</v>
      </c>
      <c r="C4" s="175">
        <v>488</v>
      </c>
      <c r="D4" s="175">
        <v>698</v>
      </c>
      <c r="E4" s="175">
        <v>714</v>
      </c>
      <c r="F4" s="175">
        <v>963</v>
      </c>
      <c r="G4" s="175">
        <v>793</v>
      </c>
    </row>
    <row r="5" spans="1:16383" ht="18" customHeight="1">
      <c r="A5" s="159" t="s">
        <v>487</v>
      </c>
      <c r="B5" s="172">
        <v>36.1</v>
      </c>
      <c r="C5" s="172">
        <v>41</v>
      </c>
      <c r="D5" s="172">
        <v>36.4</v>
      </c>
      <c r="E5" s="172">
        <v>39</v>
      </c>
      <c r="F5" s="172">
        <v>38.799999999999997</v>
      </c>
      <c r="G5" s="172">
        <v>39</v>
      </c>
    </row>
    <row r="6" spans="1:16383" ht="18" customHeight="1">
      <c r="A6" s="159" t="s">
        <v>488</v>
      </c>
      <c r="B6" s="172">
        <v>0</v>
      </c>
      <c r="C6" s="172">
        <v>0</v>
      </c>
      <c r="D6" s="172">
        <v>33.299999999999997</v>
      </c>
      <c r="E6" s="172">
        <v>17</v>
      </c>
      <c r="F6" s="172">
        <v>29</v>
      </c>
      <c r="G6" s="172">
        <v>25</v>
      </c>
    </row>
    <row r="7" spans="1:16383" ht="18" customHeight="1">
      <c r="A7" s="167" t="s">
        <v>483</v>
      </c>
      <c r="B7" s="172" t="s">
        <v>510</v>
      </c>
      <c r="C7" s="172">
        <v>202</v>
      </c>
      <c r="D7" s="172">
        <v>305</v>
      </c>
      <c r="E7" s="172">
        <v>150</v>
      </c>
      <c r="F7" s="172">
        <v>110</v>
      </c>
      <c r="G7" s="172">
        <v>109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</row>
    <row r="8" spans="1:16383" ht="18" customHeight="1">
      <c r="A8" s="158"/>
      <c r="B8" s="161"/>
      <c r="C8" s="161"/>
      <c r="D8" s="161"/>
      <c r="E8" s="161"/>
      <c r="F8" s="161"/>
      <c r="G8" s="161"/>
    </row>
    <row r="9" spans="1:16383" ht="18" customHeight="1">
      <c r="A9" s="164" t="s">
        <v>473</v>
      </c>
      <c r="B9" s="184"/>
      <c r="C9" s="184"/>
      <c r="D9" s="184"/>
      <c r="E9" s="184"/>
      <c r="F9" s="184"/>
      <c r="G9" s="184"/>
    </row>
    <row r="10" spans="1:16383" ht="18" customHeight="1">
      <c r="A10" s="159" t="s">
        <v>490</v>
      </c>
      <c r="B10" s="172" t="s">
        <v>510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</row>
    <row r="11" spans="1:16383" ht="18" customHeight="1">
      <c r="A11" s="159" t="s">
        <v>515</v>
      </c>
      <c r="B11" s="175" t="s">
        <v>510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</row>
    <row r="12" spans="1:16383" ht="18" customHeight="1">
      <c r="A12" s="159" t="s">
        <v>500</v>
      </c>
      <c r="B12" s="173" t="s">
        <v>510</v>
      </c>
      <c r="C12" s="173">
        <v>0</v>
      </c>
      <c r="D12" s="173">
        <v>0</v>
      </c>
      <c r="E12" s="173">
        <v>1.33</v>
      </c>
      <c r="F12" s="173">
        <v>0</v>
      </c>
      <c r="G12" s="173">
        <v>0</v>
      </c>
    </row>
    <row r="13" spans="1:16383" ht="18" customHeight="1">
      <c r="A13" s="159" t="s">
        <v>501</v>
      </c>
      <c r="B13" s="174" t="s">
        <v>510</v>
      </c>
      <c r="C13" s="173">
        <v>0.39</v>
      </c>
      <c r="D13" s="173">
        <v>0.51</v>
      </c>
      <c r="E13" s="173">
        <v>0.66</v>
      </c>
      <c r="F13" s="173">
        <v>0.59</v>
      </c>
      <c r="G13" s="173">
        <v>0.65</v>
      </c>
    </row>
    <row r="14" spans="1:16383" ht="18" customHeight="1">
      <c r="A14" s="158"/>
      <c r="B14" s="161"/>
      <c r="C14" s="161"/>
      <c r="D14" s="161"/>
      <c r="E14" s="161"/>
      <c r="F14" s="161"/>
      <c r="G14" s="161"/>
    </row>
    <row r="15" spans="1:16383" ht="18" customHeight="1">
      <c r="A15" s="164" t="s">
        <v>475</v>
      </c>
      <c r="B15" s="164"/>
      <c r="C15" s="164"/>
      <c r="D15" s="164"/>
      <c r="E15" s="164"/>
      <c r="F15" s="164"/>
      <c r="G15" s="164"/>
    </row>
    <row r="16" spans="1:16383" ht="18" customHeight="1">
      <c r="A16" s="163" t="s">
        <v>494</v>
      </c>
      <c r="B16" s="175"/>
      <c r="C16" s="175">
        <v>3015</v>
      </c>
      <c r="D16" s="175">
        <v>4342</v>
      </c>
      <c r="E16" s="175">
        <v>2079</v>
      </c>
      <c r="F16" s="175">
        <v>1236</v>
      </c>
      <c r="G16" s="175">
        <v>2327</v>
      </c>
    </row>
    <row r="17" spans="1:8" ht="18" customHeight="1">
      <c r="A17" s="159" t="s">
        <v>476</v>
      </c>
      <c r="B17" s="175">
        <v>2569</v>
      </c>
      <c r="C17" s="175">
        <v>3753</v>
      </c>
      <c r="D17" s="175">
        <v>4281</v>
      </c>
      <c r="E17" s="175">
        <v>1642</v>
      </c>
      <c r="F17" s="175">
        <v>531</v>
      </c>
      <c r="G17" s="175">
        <v>621</v>
      </c>
    </row>
    <row r="18" spans="1:8" ht="18" customHeight="1">
      <c r="A18" s="159" t="s">
        <v>495</v>
      </c>
      <c r="B18" s="172">
        <v>1</v>
      </c>
      <c r="C18" s="172">
        <v>3</v>
      </c>
      <c r="D18" s="172">
        <v>0</v>
      </c>
      <c r="E18" s="172">
        <v>0</v>
      </c>
      <c r="F18" s="172">
        <v>2</v>
      </c>
      <c r="G18" s="172">
        <v>0</v>
      </c>
    </row>
    <row r="19" spans="1:8" ht="18" customHeight="1">
      <c r="A19" s="163" t="s">
        <v>493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</row>
    <row r="20" spans="1:8" ht="18" customHeight="1">
      <c r="A20" s="158"/>
      <c r="B20" s="161"/>
      <c r="C20" s="161"/>
      <c r="D20" s="161"/>
      <c r="E20" s="161"/>
      <c r="F20" s="161"/>
      <c r="G20" s="161"/>
    </row>
    <row r="21" spans="1:8" ht="18" customHeight="1">
      <c r="A21" s="164" t="s">
        <v>477</v>
      </c>
      <c r="B21" s="164"/>
      <c r="C21" s="164"/>
      <c r="D21" s="164"/>
      <c r="E21" s="164"/>
      <c r="F21" s="164"/>
      <c r="G21" s="164"/>
      <c r="H21" s="171"/>
    </row>
    <row r="22" spans="1:8" ht="18" customHeight="1">
      <c r="A22" s="163" t="s">
        <v>514</v>
      </c>
      <c r="B22" s="175">
        <v>4602.8167101999998</v>
      </c>
      <c r="C22" s="175">
        <v>43929.036432647001</v>
      </c>
      <c r="D22" s="175">
        <v>104920.82514230002</v>
      </c>
      <c r="E22" s="175">
        <v>123079</v>
      </c>
      <c r="F22" s="175">
        <v>120750.79714865354</v>
      </c>
      <c r="G22" s="175">
        <v>130752.766286875</v>
      </c>
      <c r="H22" s="171"/>
    </row>
    <row r="23" spans="1:8" ht="18" customHeight="1">
      <c r="A23" s="163" t="s">
        <v>513</v>
      </c>
      <c r="B23" s="175">
        <v>3857.9813050000002</v>
      </c>
      <c r="C23" s="175">
        <v>40201.289632647</v>
      </c>
      <c r="D23" s="175">
        <v>90415.547162300005</v>
      </c>
      <c r="E23" s="175">
        <v>103950</v>
      </c>
      <c r="F23" s="175">
        <v>94305.325027853542</v>
      </c>
      <c r="G23" s="175">
        <v>92436.978182274994</v>
      </c>
    </row>
    <row r="24" spans="1:8" ht="18" customHeight="1">
      <c r="A24" s="163" t="s">
        <v>511</v>
      </c>
      <c r="B24" s="175">
        <v>693.31146000000001</v>
      </c>
      <c r="C24" s="175">
        <v>3287.9539999999997</v>
      </c>
      <c r="D24" s="175">
        <v>13844.070599999999</v>
      </c>
      <c r="E24" s="175">
        <v>18188</v>
      </c>
      <c r="F24" s="175">
        <v>25643.716799999998</v>
      </c>
      <c r="G24" s="175">
        <v>37694.663999999997</v>
      </c>
    </row>
    <row r="25" spans="1:8" ht="18" customHeight="1">
      <c r="A25" s="163" t="s">
        <v>512</v>
      </c>
      <c r="B25" s="175">
        <v>51.5239452</v>
      </c>
      <c r="C25" s="175">
        <v>439.7928</v>
      </c>
      <c r="D25" s="175">
        <v>661.20738000000006</v>
      </c>
      <c r="E25" s="175">
        <v>941</v>
      </c>
      <c r="F25" s="175">
        <v>801.75532079999994</v>
      </c>
      <c r="G25" s="175">
        <v>621.12410460000001</v>
      </c>
    </row>
    <row r="26" spans="1:8" ht="18" customHeight="1">
      <c r="A26" s="163" t="s">
        <v>492</v>
      </c>
      <c r="B26" s="175">
        <v>18.100000000000001</v>
      </c>
      <c r="C26" s="175">
        <v>183.8</v>
      </c>
      <c r="D26" s="175">
        <v>432.7</v>
      </c>
      <c r="E26" s="175">
        <v>500</v>
      </c>
      <c r="F26" s="175">
        <v>475.46504657444575</v>
      </c>
      <c r="G26" s="175">
        <v>492.86794206183998</v>
      </c>
    </row>
    <row r="27" spans="1:8" ht="18" customHeight="1">
      <c r="A27" s="170" t="s">
        <v>505</v>
      </c>
      <c r="B27" s="178">
        <v>11.26</v>
      </c>
      <c r="C27" s="178">
        <v>1.56</v>
      </c>
      <c r="D27" s="178">
        <v>3.35</v>
      </c>
      <c r="E27" s="178">
        <v>4.0999999999999996</v>
      </c>
      <c r="F27" s="178">
        <v>4.1425534222404297</v>
      </c>
      <c r="G27" s="178">
        <v>5.4296248346090996</v>
      </c>
    </row>
    <row r="28" spans="1:8" ht="18" customHeight="1">
      <c r="A28" s="166"/>
      <c r="B28" s="161"/>
      <c r="C28" s="161"/>
      <c r="D28" s="161"/>
      <c r="E28" s="161"/>
      <c r="F28" s="161"/>
      <c r="G28" s="161"/>
    </row>
    <row r="29" spans="1:8" ht="18" customHeight="1">
      <c r="A29" s="164" t="s">
        <v>479</v>
      </c>
      <c r="B29" s="164"/>
      <c r="C29" s="164"/>
      <c r="D29" s="164"/>
      <c r="E29" s="164"/>
      <c r="F29" s="164"/>
      <c r="G29" s="164"/>
    </row>
    <row r="30" spans="1:8" ht="18" customHeight="1">
      <c r="A30" s="163" t="s">
        <v>504</v>
      </c>
      <c r="B30" s="162" t="s">
        <v>510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</row>
    <row r="31" spans="1:8" ht="18" customHeight="1">
      <c r="A31" s="163" t="s">
        <v>502</v>
      </c>
      <c r="B31" s="162" t="s">
        <v>510</v>
      </c>
      <c r="C31" s="175">
        <v>3239</v>
      </c>
      <c r="D31" s="175">
        <v>5158</v>
      </c>
      <c r="E31" s="175">
        <v>4875</v>
      </c>
      <c r="F31" s="175">
        <v>3475</v>
      </c>
      <c r="G31" s="175">
        <v>2194</v>
      </c>
    </row>
    <row r="32" spans="1:8" ht="18" customHeight="1">
      <c r="A32" s="163" t="s">
        <v>480</v>
      </c>
      <c r="B32" s="162" t="s">
        <v>510</v>
      </c>
      <c r="C32" s="175">
        <v>2</v>
      </c>
      <c r="D32" s="175">
        <v>10</v>
      </c>
      <c r="E32" s="175">
        <v>9</v>
      </c>
      <c r="F32" s="175">
        <v>14</v>
      </c>
      <c r="G32" s="175">
        <v>13</v>
      </c>
    </row>
    <row r="33" spans="1:7" ht="18" customHeight="1">
      <c r="A33" s="163" t="s">
        <v>481</v>
      </c>
      <c r="B33" s="162" t="s">
        <v>510</v>
      </c>
      <c r="C33" s="172">
        <v>0</v>
      </c>
      <c r="D33" s="172">
        <v>0</v>
      </c>
      <c r="E33" s="172">
        <v>0</v>
      </c>
      <c r="F33" s="172">
        <v>0</v>
      </c>
      <c r="G33" s="172">
        <v>0</v>
      </c>
    </row>
    <row r="34" spans="1:7" ht="18" customHeight="1">
      <c r="A34" s="163" t="s">
        <v>491</v>
      </c>
      <c r="B34" s="162" t="s">
        <v>510</v>
      </c>
      <c r="C34" s="172">
        <v>0</v>
      </c>
      <c r="D34" s="172">
        <v>0</v>
      </c>
      <c r="E34" s="172">
        <v>0</v>
      </c>
      <c r="F34" s="172">
        <v>509</v>
      </c>
      <c r="G34" s="172">
        <v>592</v>
      </c>
    </row>
    <row r="35" spans="1:7" ht="19.5" customHeight="1">
      <c r="A35" s="163" t="s">
        <v>482</v>
      </c>
      <c r="B35" s="162" t="s">
        <v>510</v>
      </c>
      <c r="C35" s="172">
        <v>0</v>
      </c>
      <c r="D35" s="172">
        <v>0</v>
      </c>
      <c r="E35" s="172">
        <v>0</v>
      </c>
      <c r="F35" s="172">
        <v>0</v>
      </c>
      <c r="G35" s="172">
        <v>100</v>
      </c>
    </row>
    <row r="36" spans="1:7" ht="42.75" customHeight="1">
      <c r="A36" s="148" t="s">
        <v>413</v>
      </c>
    </row>
    <row r="37" spans="1:7" ht="15.5">
      <c r="A37" s="148" t="s">
        <v>517</v>
      </c>
    </row>
  </sheetData>
  <pageMargins left="0.24" right="0.24" top="0.984251969" bottom="0.984251969" header="0.5" footer="0.5"/>
  <pageSetup paperSize="9" scale="73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>
      <selection activeCell="I35" sqref="I35"/>
    </sheetView>
  </sheetViews>
  <sheetFormatPr defaultColWidth="11.453125" defaultRowHeight="12.5"/>
  <cols>
    <col min="1" max="1" width="68.726562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304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874</v>
      </c>
      <c r="C4" s="175">
        <v>813</v>
      </c>
      <c r="D4" s="175" t="s">
        <v>510</v>
      </c>
      <c r="E4" s="175">
        <v>610</v>
      </c>
      <c r="F4" s="175">
        <v>601</v>
      </c>
      <c r="G4" s="175">
        <v>589</v>
      </c>
      <c r="H4" s="175">
        <v>585</v>
      </c>
      <c r="I4" s="175">
        <v>477</v>
      </c>
    </row>
    <row r="5" spans="1:16384" ht="18" customHeight="1">
      <c r="A5" s="159" t="s">
        <v>487</v>
      </c>
      <c r="B5" s="172">
        <v>19.3</v>
      </c>
      <c r="C5" s="172">
        <v>21.4</v>
      </c>
      <c r="D5" s="172" t="s">
        <v>510</v>
      </c>
      <c r="E5" s="172">
        <v>25.9</v>
      </c>
      <c r="F5" s="172">
        <v>25.9</v>
      </c>
      <c r="G5" s="172">
        <v>28</v>
      </c>
      <c r="H5" s="172">
        <v>26.8</v>
      </c>
      <c r="I5" s="172" t="s">
        <v>510</v>
      </c>
    </row>
    <row r="6" spans="1:16384" ht="18" customHeight="1">
      <c r="A6" s="159" t="s">
        <v>488</v>
      </c>
      <c r="B6" s="172">
        <v>25</v>
      </c>
      <c r="C6" s="172">
        <v>33.299999999999997</v>
      </c>
      <c r="D6" s="172" t="s">
        <v>510</v>
      </c>
      <c r="E6" s="172">
        <v>0</v>
      </c>
      <c r="F6" s="172">
        <v>0</v>
      </c>
      <c r="G6" s="172" t="s">
        <v>510</v>
      </c>
      <c r="H6" s="172" t="s">
        <v>510</v>
      </c>
      <c r="I6" s="172" t="s">
        <v>510</v>
      </c>
    </row>
    <row r="7" spans="1:16384" ht="18" customHeight="1">
      <c r="A7" s="167" t="s">
        <v>483</v>
      </c>
      <c r="B7" s="175">
        <v>74</v>
      </c>
      <c r="C7" s="172" t="s">
        <v>510</v>
      </c>
      <c r="D7" s="175" t="s">
        <v>510</v>
      </c>
      <c r="E7" s="172">
        <v>53</v>
      </c>
      <c r="F7" s="172">
        <v>580</v>
      </c>
      <c r="G7" s="172">
        <v>170</v>
      </c>
      <c r="H7" s="172">
        <v>47</v>
      </c>
      <c r="I7" s="172" t="s">
        <v>510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>
        <v>1.36</v>
      </c>
      <c r="C12" s="173">
        <v>0.73</v>
      </c>
      <c r="D12" s="173">
        <v>0.95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</row>
    <row r="13" spans="1:16384" ht="18" customHeight="1">
      <c r="A13" s="159" t="s">
        <v>501</v>
      </c>
      <c r="B13" s="173">
        <v>1.66</v>
      </c>
      <c r="C13" s="173">
        <v>2.58</v>
      </c>
      <c r="D13" s="173">
        <v>2.4700000000000002</v>
      </c>
      <c r="E13" s="173">
        <v>2.33</v>
      </c>
      <c r="F13" s="173">
        <v>2.25</v>
      </c>
      <c r="G13" s="173">
        <v>1.82</v>
      </c>
      <c r="H13" s="173">
        <v>2.06</v>
      </c>
      <c r="I13" s="173">
        <v>1.63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8" customHeight="1">
      <c r="A16" s="163" t="s">
        <v>494</v>
      </c>
      <c r="B16" s="175" t="s">
        <v>510</v>
      </c>
      <c r="C16" s="175" t="s">
        <v>510</v>
      </c>
      <c r="D16" s="175" t="s">
        <v>510</v>
      </c>
      <c r="E16" s="175">
        <v>0</v>
      </c>
      <c r="F16" s="175">
        <v>1168</v>
      </c>
      <c r="G16" s="175">
        <v>162</v>
      </c>
      <c r="H16" s="175">
        <v>396</v>
      </c>
      <c r="I16" s="175">
        <v>314</v>
      </c>
    </row>
    <row r="17" spans="1:10" ht="18" customHeight="1">
      <c r="A17" s="159" t="s">
        <v>476</v>
      </c>
      <c r="B17" s="175">
        <v>16</v>
      </c>
      <c r="C17" s="175">
        <v>12</v>
      </c>
      <c r="D17" s="175">
        <v>25</v>
      </c>
      <c r="E17" s="175">
        <v>35</v>
      </c>
      <c r="F17" s="175">
        <v>33</v>
      </c>
      <c r="G17" s="175">
        <v>30</v>
      </c>
      <c r="H17" s="175">
        <v>32</v>
      </c>
      <c r="I17" s="175">
        <v>30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10" ht="18" customHeight="1">
      <c r="A19" s="163" t="s">
        <v>493</v>
      </c>
      <c r="B19" s="172">
        <v>0</v>
      </c>
      <c r="C19" s="172">
        <v>100</v>
      </c>
      <c r="D19" s="172">
        <v>100</v>
      </c>
      <c r="E19" s="172">
        <v>100</v>
      </c>
      <c r="F19" s="172">
        <v>100</v>
      </c>
      <c r="G19" s="172">
        <v>100</v>
      </c>
      <c r="H19" s="172">
        <v>100</v>
      </c>
      <c r="I19" s="172" t="s">
        <v>510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  <c r="J21" s="171"/>
    </row>
    <row r="22" spans="1:10" ht="18" customHeight="1">
      <c r="A22" s="163" t="s">
        <v>514</v>
      </c>
      <c r="B22" s="175">
        <v>3805.2843009180001</v>
      </c>
      <c r="C22" s="175">
        <v>5576.1176034999999</v>
      </c>
      <c r="D22" s="175">
        <v>4976.7934179800004</v>
      </c>
      <c r="E22" s="175">
        <v>4590.961263612</v>
      </c>
      <c r="F22" s="175">
        <v>3649.7589768040002</v>
      </c>
      <c r="G22" s="175">
        <v>3374</v>
      </c>
      <c r="H22" s="175">
        <v>3453.3727955639997</v>
      </c>
      <c r="I22" s="175">
        <v>1773.3599247</v>
      </c>
      <c r="J22" s="171"/>
    </row>
    <row r="23" spans="1:10" ht="18" customHeight="1">
      <c r="A23" s="163" t="s">
        <v>513</v>
      </c>
      <c r="B23" s="175">
        <v>822.65419091800004</v>
      </c>
      <c r="C23" s="175">
        <v>730.61334350000004</v>
      </c>
      <c r="D23" s="175">
        <v>978.47541798000009</v>
      </c>
      <c r="E23" s="175">
        <v>789.10325941200006</v>
      </c>
      <c r="F23" s="175">
        <v>692.82706304399994</v>
      </c>
      <c r="G23" s="175">
        <v>694</v>
      </c>
      <c r="H23" s="175">
        <v>544.01500496400001</v>
      </c>
      <c r="I23" s="175">
        <v>351.86523790000001</v>
      </c>
    </row>
    <row r="24" spans="1:10" ht="18" customHeight="1">
      <c r="A24" s="163" t="s">
        <v>511</v>
      </c>
      <c r="B24" s="175">
        <v>1627.511</v>
      </c>
      <c r="C24" s="175">
        <v>3834.7244599999999</v>
      </c>
      <c r="D24" s="175">
        <v>3524.4577159999999</v>
      </c>
      <c r="E24" s="175">
        <v>3225.8892959999998</v>
      </c>
      <c r="F24" s="175">
        <v>2449.8695440000001</v>
      </c>
      <c r="G24" s="175">
        <v>2200</v>
      </c>
      <c r="H24" s="175">
        <v>2439.4978079999996</v>
      </c>
      <c r="I24" s="175">
        <v>1334.3342</v>
      </c>
    </row>
    <row r="25" spans="1:10" ht="18" customHeight="1">
      <c r="A25" s="163" t="s">
        <v>512</v>
      </c>
      <c r="B25" s="175">
        <v>1355.1191100000001</v>
      </c>
      <c r="C25" s="175">
        <v>1010.7798</v>
      </c>
      <c r="D25" s="175">
        <v>473.86028399999998</v>
      </c>
      <c r="E25" s="175">
        <v>575.96870819999992</v>
      </c>
      <c r="F25" s="175">
        <v>507.06236976000002</v>
      </c>
      <c r="G25" s="175">
        <v>480</v>
      </c>
      <c r="H25" s="175">
        <v>469.85998259999997</v>
      </c>
      <c r="I25" s="175">
        <v>87.160486800000001</v>
      </c>
    </row>
    <row r="26" spans="1:10" ht="18" customHeight="1">
      <c r="A26" s="163" t="s">
        <v>492</v>
      </c>
      <c r="B26" s="175">
        <v>111.4</v>
      </c>
      <c r="C26" s="175">
        <v>120.4</v>
      </c>
      <c r="D26" s="175">
        <v>111.2</v>
      </c>
      <c r="E26" s="175">
        <v>113.4</v>
      </c>
      <c r="F26" s="175">
        <v>112.4</v>
      </c>
      <c r="G26" s="175">
        <v>105</v>
      </c>
      <c r="H26" s="175">
        <v>100.95572532784</v>
      </c>
      <c r="I26" s="175">
        <v>16.668763603519999</v>
      </c>
    </row>
    <row r="27" spans="1:10" ht="18" customHeight="1">
      <c r="A27" s="170" t="s">
        <v>505</v>
      </c>
      <c r="B27" s="178">
        <v>0.1</v>
      </c>
      <c r="C27" s="178">
        <v>0.09</v>
      </c>
      <c r="D27" s="178">
        <v>0.08</v>
      </c>
      <c r="E27" s="178">
        <v>7.0000000000000007E-2</v>
      </c>
      <c r="F27" s="178">
        <v>0.09</v>
      </c>
      <c r="G27" s="178">
        <v>0.1</v>
      </c>
      <c r="H27" s="178">
        <v>0.105676322020267</v>
      </c>
      <c r="I27" s="178">
        <v>0.16817354477496799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72">
        <v>0</v>
      </c>
      <c r="C30" s="172">
        <v>7</v>
      </c>
      <c r="D30" s="172">
        <v>0</v>
      </c>
      <c r="E30" s="172">
        <v>4</v>
      </c>
      <c r="F30" s="172">
        <v>0</v>
      </c>
      <c r="G30" s="172">
        <v>0</v>
      </c>
      <c r="H30" s="172">
        <v>0</v>
      </c>
      <c r="I30" s="172" t="s">
        <v>510</v>
      </c>
    </row>
    <row r="31" spans="1:10" ht="18" customHeight="1">
      <c r="A31" s="163" t="s">
        <v>502</v>
      </c>
      <c r="B31" s="175">
        <v>267</v>
      </c>
      <c r="C31" s="175">
        <v>189</v>
      </c>
      <c r="D31" s="175">
        <v>365</v>
      </c>
      <c r="E31" s="175">
        <v>273</v>
      </c>
      <c r="F31" s="175">
        <v>183</v>
      </c>
      <c r="G31" s="175">
        <v>150</v>
      </c>
      <c r="H31" s="175">
        <v>205</v>
      </c>
      <c r="I31" s="175" t="s">
        <v>510</v>
      </c>
    </row>
    <row r="32" spans="1:10" ht="18" customHeight="1">
      <c r="A32" s="163" t="s">
        <v>480</v>
      </c>
      <c r="B32" s="175">
        <v>132</v>
      </c>
      <c r="C32" s="175">
        <v>95</v>
      </c>
      <c r="D32" s="175">
        <v>98</v>
      </c>
      <c r="E32" s="175">
        <v>54</v>
      </c>
      <c r="F32" s="175">
        <v>48</v>
      </c>
      <c r="G32" s="175">
        <v>76</v>
      </c>
      <c r="H32" s="175">
        <v>89</v>
      </c>
      <c r="I32" s="175" t="s">
        <v>510</v>
      </c>
    </row>
    <row r="33" spans="1:9" ht="18" customHeight="1">
      <c r="A33" s="163" t="s">
        <v>481</v>
      </c>
      <c r="B33" s="175">
        <v>47.8</v>
      </c>
      <c r="C33" s="175">
        <v>44.1</v>
      </c>
      <c r="D33" s="175">
        <v>77.2</v>
      </c>
      <c r="E33" s="175">
        <v>61.86</v>
      </c>
      <c r="F33" s="175">
        <v>55.1</v>
      </c>
      <c r="G33" s="175">
        <v>68</v>
      </c>
      <c r="H33" s="175">
        <v>66</v>
      </c>
      <c r="I33" s="175" t="s">
        <v>510</v>
      </c>
    </row>
    <row r="34" spans="1:9" ht="18" customHeight="1">
      <c r="A34" s="163" t="s">
        <v>491</v>
      </c>
      <c r="B34" s="175">
        <v>36</v>
      </c>
      <c r="C34" s="175">
        <v>32</v>
      </c>
      <c r="D34" s="175">
        <v>83</v>
      </c>
      <c r="E34" s="175">
        <v>25</v>
      </c>
      <c r="F34" s="175">
        <v>35</v>
      </c>
      <c r="G34" s="175">
        <v>38</v>
      </c>
      <c r="H34" s="175">
        <v>9</v>
      </c>
      <c r="I34" s="175" t="s">
        <v>510</v>
      </c>
    </row>
    <row r="35" spans="1:9" ht="15.75" customHeight="1">
      <c r="A35" s="163" t="s">
        <v>482</v>
      </c>
      <c r="B35" s="175">
        <v>88</v>
      </c>
      <c r="C35" s="162">
        <v>100</v>
      </c>
      <c r="D35" s="190">
        <v>100</v>
      </c>
      <c r="E35" s="160">
        <v>100</v>
      </c>
      <c r="F35" s="160">
        <v>100</v>
      </c>
      <c r="G35" s="160">
        <v>100</v>
      </c>
      <c r="H35" s="160">
        <v>100</v>
      </c>
      <c r="I35" s="160" t="s">
        <v>510</v>
      </c>
    </row>
    <row r="36" spans="1:9" ht="46.5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5429687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74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1534</v>
      </c>
      <c r="C4" s="175">
        <v>2095</v>
      </c>
      <c r="D4" s="175">
        <v>1411</v>
      </c>
      <c r="E4" s="175">
        <v>1498</v>
      </c>
      <c r="F4" s="175">
        <v>1505</v>
      </c>
      <c r="G4" s="175">
        <v>4440</v>
      </c>
      <c r="H4" s="175">
        <v>1872</v>
      </c>
      <c r="I4" s="175">
        <v>1169</v>
      </c>
    </row>
    <row r="5" spans="1:16384" ht="18" customHeight="1">
      <c r="A5" s="159" t="s">
        <v>487</v>
      </c>
      <c r="B5" s="172">
        <v>34.299999999999997</v>
      </c>
      <c r="C5" s="172">
        <v>31.8</v>
      </c>
      <c r="D5" s="172">
        <v>36.4</v>
      </c>
      <c r="E5" s="172">
        <v>30.9</v>
      </c>
      <c r="F5" s="172">
        <v>30.7</v>
      </c>
      <c r="G5" s="172">
        <v>27</v>
      </c>
      <c r="H5" s="172">
        <v>37</v>
      </c>
      <c r="I5" s="172">
        <v>37</v>
      </c>
    </row>
    <row r="6" spans="1:16384" ht="18" customHeight="1">
      <c r="A6" s="159" t="s">
        <v>488</v>
      </c>
      <c r="B6" s="172">
        <v>22.2</v>
      </c>
      <c r="C6" s="172">
        <v>17.2</v>
      </c>
      <c r="D6" s="172">
        <v>23.2</v>
      </c>
      <c r="E6" s="172">
        <v>23.7</v>
      </c>
      <c r="F6" s="172">
        <v>26</v>
      </c>
      <c r="G6" s="172">
        <v>60</v>
      </c>
      <c r="H6" s="172">
        <v>28</v>
      </c>
      <c r="I6" s="172">
        <v>28</v>
      </c>
    </row>
    <row r="7" spans="1:16384" ht="18" customHeight="1">
      <c r="A7" s="167" t="s">
        <v>483</v>
      </c>
      <c r="B7" s="175">
        <v>115</v>
      </c>
      <c r="C7" s="172">
        <v>3.4</v>
      </c>
      <c r="D7" s="172">
        <v>145</v>
      </c>
      <c r="E7" s="172">
        <v>206</v>
      </c>
      <c r="F7" s="172">
        <v>181</v>
      </c>
      <c r="G7" s="172">
        <v>849</v>
      </c>
      <c r="H7" s="172">
        <v>270</v>
      </c>
      <c r="I7" s="172">
        <v>270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>
        <v>0.27</v>
      </c>
      <c r="C12" s="173">
        <v>0.39</v>
      </c>
      <c r="D12" s="173">
        <v>0</v>
      </c>
      <c r="E12" s="173">
        <v>0.46</v>
      </c>
      <c r="F12" s="173">
        <v>0</v>
      </c>
      <c r="G12" s="173">
        <v>0</v>
      </c>
      <c r="H12" s="173">
        <v>0</v>
      </c>
      <c r="I12" s="173">
        <v>0</v>
      </c>
    </row>
    <row r="13" spans="1:16384" ht="18" customHeight="1">
      <c r="A13" s="159" t="s">
        <v>501</v>
      </c>
      <c r="B13" s="173">
        <v>2.7</v>
      </c>
      <c r="C13" s="173">
        <v>1.96</v>
      </c>
      <c r="D13" s="173">
        <v>1.58</v>
      </c>
      <c r="E13" s="173">
        <v>1.47</v>
      </c>
      <c r="F13" s="173">
        <v>1.19</v>
      </c>
      <c r="G13" s="173">
        <v>1.62</v>
      </c>
      <c r="H13" s="173">
        <v>0</v>
      </c>
      <c r="I13" s="173">
        <v>0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8" customHeight="1">
      <c r="A16" s="163" t="s">
        <v>494</v>
      </c>
      <c r="B16" s="175" t="s">
        <v>510</v>
      </c>
      <c r="C16" s="175" t="s">
        <v>510</v>
      </c>
      <c r="D16" s="175" t="s">
        <v>510</v>
      </c>
      <c r="E16" s="175">
        <v>205</v>
      </c>
      <c r="F16" s="175">
        <v>313</v>
      </c>
      <c r="G16" s="175">
        <v>233</v>
      </c>
      <c r="H16" s="175">
        <v>345</v>
      </c>
      <c r="I16" s="175">
        <v>345</v>
      </c>
    </row>
    <row r="17" spans="1:10" ht="18" customHeight="1">
      <c r="A17" s="159" t="s">
        <v>476</v>
      </c>
      <c r="B17" s="175">
        <v>5</v>
      </c>
      <c r="C17" s="175">
        <v>15</v>
      </c>
      <c r="D17" s="175">
        <v>28</v>
      </c>
      <c r="E17" s="175">
        <v>33</v>
      </c>
      <c r="F17" s="175">
        <v>39</v>
      </c>
      <c r="G17" s="175">
        <v>33</v>
      </c>
      <c r="H17" s="175">
        <v>20</v>
      </c>
      <c r="I17" s="175">
        <v>20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10" ht="18" customHeight="1">
      <c r="A19" s="163" t="s">
        <v>493</v>
      </c>
      <c r="B19" s="172">
        <v>0</v>
      </c>
      <c r="C19" s="172">
        <v>0</v>
      </c>
      <c r="D19" s="172">
        <v>23.08</v>
      </c>
      <c r="E19" s="172">
        <v>40</v>
      </c>
      <c r="F19" s="172">
        <v>33.299999999999997</v>
      </c>
      <c r="G19" s="172">
        <v>62</v>
      </c>
      <c r="H19" s="172">
        <v>60</v>
      </c>
      <c r="I19" s="172">
        <v>60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  <c r="J21" s="171"/>
    </row>
    <row r="22" spans="1:10" ht="18" customHeight="1">
      <c r="A22" s="163" t="s">
        <v>514</v>
      </c>
      <c r="B22" s="175">
        <v>3650.3397839999998</v>
      </c>
      <c r="C22" s="175">
        <v>7180.0979100000004</v>
      </c>
      <c r="D22" s="175">
        <v>6476.9589020000003</v>
      </c>
      <c r="E22" s="175">
        <v>5103.6193199999998</v>
      </c>
      <c r="F22" s="175">
        <v>4238.7612104999998</v>
      </c>
      <c r="G22" s="175">
        <v>3294</v>
      </c>
      <c r="H22" s="175">
        <v>2552.0323058824001</v>
      </c>
      <c r="I22" s="175">
        <v>2443.6811776999998</v>
      </c>
      <c r="J22" s="171"/>
    </row>
    <row r="23" spans="1:10" ht="18" customHeight="1">
      <c r="A23" s="163" t="s">
        <v>513</v>
      </c>
      <c r="B23" s="175">
        <v>446.17591399999998</v>
      </c>
      <c r="C23" s="175">
        <v>448.06473000000005</v>
      </c>
      <c r="D23" s="175">
        <v>244.85781500000002</v>
      </c>
      <c r="E23" s="175">
        <v>136.72558000000001</v>
      </c>
      <c r="F23" s="175">
        <v>79.334450500000003</v>
      </c>
      <c r="G23" s="175">
        <v>44</v>
      </c>
      <c r="H23" s="175">
        <v>45.090805882400005</v>
      </c>
      <c r="I23" s="175">
        <v>0.34882649999999998</v>
      </c>
    </row>
    <row r="24" spans="1:10" ht="18" customHeight="1">
      <c r="A24" s="163" t="s">
        <v>511</v>
      </c>
      <c r="B24" s="175">
        <v>325</v>
      </c>
      <c r="C24" s="175">
        <v>3543.0449999999996</v>
      </c>
      <c r="D24" s="175">
        <v>3045.2036070000004</v>
      </c>
      <c r="E24" s="175">
        <v>325.21699999999998</v>
      </c>
      <c r="F24" s="175">
        <v>229.96100000000001</v>
      </c>
      <c r="G24" s="175">
        <v>180</v>
      </c>
      <c r="H24" s="175">
        <v>68.72</v>
      </c>
      <c r="I24" s="175">
        <v>62.921331199999997</v>
      </c>
    </row>
    <row r="25" spans="1:10" ht="18" customHeight="1">
      <c r="A25" s="163" t="s">
        <v>512</v>
      </c>
      <c r="B25" s="175">
        <v>2879.1638699999999</v>
      </c>
      <c r="C25" s="175">
        <v>3188.9881800000003</v>
      </c>
      <c r="D25" s="175">
        <v>3186.8974799999996</v>
      </c>
      <c r="E25" s="175">
        <v>4641.6767399999999</v>
      </c>
      <c r="F25" s="175">
        <v>3929.46576</v>
      </c>
      <c r="G25" s="175">
        <v>3070</v>
      </c>
      <c r="H25" s="175">
        <v>2438.2215000000001</v>
      </c>
      <c r="I25" s="175">
        <v>2380.41102</v>
      </c>
    </row>
    <row r="26" spans="1:10" ht="18" customHeight="1">
      <c r="A26" s="163" t="s">
        <v>492</v>
      </c>
      <c r="B26" s="175">
        <v>35.4</v>
      </c>
      <c r="C26" s="175">
        <v>193.2</v>
      </c>
      <c r="D26" s="175">
        <v>184.2</v>
      </c>
      <c r="E26" s="175">
        <v>53.9</v>
      </c>
      <c r="F26" s="175">
        <v>43.3</v>
      </c>
      <c r="G26" s="175">
        <v>39</v>
      </c>
      <c r="H26" s="175">
        <v>22.862060483999997</v>
      </c>
      <c r="I26" s="175">
        <v>21.566036535999999</v>
      </c>
    </row>
    <row r="27" spans="1:10" ht="18" customHeight="1">
      <c r="A27" s="170" t="s">
        <v>505</v>
      </c>
      <c r="B27" s="178">
        <v>1.48</v>
      </c>
      <c r="C27" s="178">
        <v>1.49</v>
      </c>
      <c r="D27" s="178">
        <v>0.95</v>
      </c>
      <c r="E27" s="178">
        <v>0.85</v>
      </c>
      <c r="F27" s="178">
        <v>0.75</v>
      </c>
      <c r="G27" s="178">
        <v>0.7</v>
      </c>
      <c r="H27" s="178">
        <v>2.4</v>
      </c>
      <c r="I27" s="178">
        <v>2.4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72">
        <v>0</v>
      </c>
      <c r="C30" s="172">
        <v>0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</row>
    <row r="31" spans="1:10" ht="18" customHeight="1">
      <c r="A31" s="163" t="s">
        <v>502</v>
      </c>
      <c r="B31" s="175">
        <v>120000</v>
      </c>
      <c r="C31" s="175">
        <v>86752</v>
      </c>
      <c r="D31" s="175">
        <v>90502</v>
      </c>
      <c r="E31" s="175">
        <v>75254</v>
      </c>
      <c r="F31" s="175">
        <v>67054</v>
      </c>
      <c r="G31" s="175">
        <v>54220</v>
      </c>
      <c r="H31" s="175">
        <v>52455</v>
      </c>
      <c r="I31" s="175">
        <v>52455</v>
      </c>
    </row>
    <row r="32" spans="1:10" ht="18" customHeight="1">
      <c r="A32" s="163" t="s">
        <v>480</v>
      </c>
      <c r="B32" s="175">
        <v>1061</v>
      </c>
      <c r="C32" s="175">
        <v>1032</v>
      </c>
      <c r="D32" s="175">
        <v>991</v>
      </c>
      <c r="E32" s="175">
        <v>912</v>
      </c>
      <c r="F32" s="175">
        <v>928</v>
      </c>
      <c r="G32" s="175">
        <v>1024</v>
      </c>
      <c r="H32" s="175">
        <v>1322</v>
      </c>
      <c r="I32" s="175">
        <v>1322</v>
      </c>
    </row>
    <row r="33" spans="1:9" ht="18" customHeight="1">
      <c r="A33" s="163" t="s">
        <v>481</v>
      </c>
      <c r="B33" s="172">
        <v>51.27</v>
      </c>
      <c r="C33" s="172">
        <v>48.92</v>
      </c>
      <c r="D33" s="172">
        <v>53</v>
      </c>
      <c r="E33" s="172">
        <v>54.75</v>
      </c>
      <c r="F33" s="172">
        <v>50.1</v>
      </c>
      <c r="G33" s="172">
        <v>60</v>
      </c>
      <c r="H33" s="172">
        <v>64</v>
      </c>
      <c r="I33" s="172">
        <v>64</v>
      </c>
    </row>
    <row r="34" spans="1:9" ht="18" customHeight="1">
      <c r="A34" s="163" t="s">
        <v>491</v>
      </c>
      <c r="B34" s="175">
        <v>30</v>
      </c>
      <c r="C34" s="175">
        <v>22</v>
      </c>
      <c r="D34" s="175">
        <v>25</v>
      </c>
      <c r="E34" s="175">
        <v>21</v>
      </c>
      <c r="F34" s="175">
        <v>20</v>
      </c>
      <c r="G34" s="175">
        <v>12</v>
      </c>
      <c r="H34" s="175">
        <v>7</v>
      </c>
      <c r="I34" s="175">
        <v>7</v>
      </c>
    </row>
    <row r="35" spans="1:9" ht="15.75" customHeight="1">
      <c r="A35" s="163" t="s">
        <v>482</v>
      </c>
      <c r="B35" s="172">
        <v>100</v>
      </c>
      <c r="C35" s="172">
        <v>100</v>
      </c>
      <c r="D35" s="172">
        <v>100</v>
      </c>
      <c r="E35" s="172">
        <v>100</v>
      </c>
      <c r="F35" s="172">
        <v>100</v>
      </c>
      <c r="G35" s="172">
        <v>100</v>
      </c>
      <c r="H35" s="172">
        <v>100</v>
      </c>
      <c r="I35" s="172">
        <v>100</v>
      </c>
    </row>
    <row r="36" spans="1:9" ht="46.5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7"/>
  <sheetViews>
    <sheetView view="pageBreakPreview" zoomScaleNormal="85" zoomScaleSheetLayoutView="100" workbookViewId="0"/>
  </sheetViews>
  <sheetFormatPr defaultColWidth="11.453125" defaultRowHeight="12.5"/>
  <cols>
    <col min="1" max="1" width="68.26953125" style="56" customWidth="1"/>
    <col min="2" max="7" width="11.7265625" style="56" customWidth="1"/>
    <col min="8" max="16384" width="11.453125" style="56"/>
  </cols>
  <sheetData>
    <row r="1" spans="1:16384" ht="16" thickBot="1">
      <c r="A1" s="149" t="s">
        <v>520</v>
      </c>
      <c r="B1" s="150"/>
      <c r="C1" s="150"/>
      <c r="D1" s="150"/>
      <c r="E1" s="150"/>
      <c r="F1" s="150"/>
      <c r="G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</row>
    <row r="4" spans="1:16384" ht="18" customHeight="1">
      <c r="A4" s="159" t="s">
        <v>486</v>
      </c>
      <c r="B4" s="175" t="s">
        <v>510</v>
      </c>
      <c r="C4" s="175">
        <v>2001</v>
      </c>
      <c r="D4" s="175">
        <v>2020</v>
      </c>
      <c r="E4" s="175">
        <v>2100</v>
      </c>
      <c r="F4" s="175">
        <v>1851</v>
      </c>
      <c r="G4" s="175">
        <v>1979</v>
      </c>
    </row>
    <row r="5" spans="1:16384" ht="18" customHeight="1">
      <c r="A5" s="159" t="s">
        <v>487</v>
      </c>
      <c r="B5" s="175" t="s">
        <v>510</v>
      </c>
      <c r="C5" s="172">
        <v>52.9</v>
      </c>
      <c r="D5" s="172">
        <v>53</v>
      </c>
      <c r="E5" s="172">
        <v>54.2</v>
      </c>
      <c r="F5" s="172">
        <v>63</v>
      </c>
      <c r="G5" s="172">
        <v>64</v>
      </c>
    </row>
    <row r="6" spans="1:16384" ht="18" customHeight="1">
      <c r="A6" s="159" t="s">
        <v>488</v>
      </c>
      <c r="B6" s="175" t="s">
        <v>510</v>
      </c>
      <c r="C6" s="172">
        <v>22.2</v>
      </c>
      <c r="D6" s="172">
        <v>30</v>
      </c>
      <c r="E6" s="172">
        <v>30</v>
      </c>
      <c r="F6" s="172">
        <v>62.5</v>
      </c>
      <c r="G6" s="172">
        <v>29</v>
      </c>
    </row>
    <row r="7" spans="1:16384" ht="18" customHeight="1">
      <c r="A7" s="167" t="s">
        <v>483</v>
      </c>
      <c r="B7" s="175" t="s">
        <v>510</v>
      </c>
      <c r="C7" s="172" t="s">
        <v>510</v>
      </c>
      <c r="D7" s="172">
        <v>418</v>
      </c>
      <c r="E7" s="172">
        <v>355</v>
      </c>
      <c r="F7" s="172">
        <v>615</v>
      </c>
      <c r="G7" s="172">
        <v>688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</row>
    <row r="9" spans="1:16384" ht="18" customHeight="1">
      <c r="A9" s="164" t="s">
        <v>473</v>
      </c>
      <c r="B9" s="184"/>
      <c r="C9" s="184"/>
      <c r="D9" s="184"/>
      <c r="E9" s="184"/>
      <c r="F9" s="187"/>
      <c r="G9" s="187"/>
    </row>
    <row r="10" spans="1:16384" ht="18" customHeight="1">
      <c r="A10" s="159" t="s">
        <v>490</v>
      </c>
      <c r="B10" s="172" t="s">
        <v>510</v>
      </c>
      <c r="C10" s="172" t="s">
        <v>510</v>
      </c>
      <c r="D10" s="172">
        <v>0</v>
      </c>
      <c r="E10" s="172">
        <v>0</v>
      </c>
      <c r="F10" s="172">
        <v>0</v>
      </c>
      <c r="G10" s="172">
        <v>0</v>
      </c>
    </row>
    <row r="11" spans="1:16384" ht="18" customHeight="1">
      <c r="A11" s="159" t="s">
        <v>515</v>
      </c>
      <c r="B11" s="172" t="s">
        <v>510</v>
      </c>
      <c r="C11" s="175" t="s">
        <v>510</v>
      </c>
      <c r="D11" s="175">
        <v>0</v>
      </c>
      <c r="E11" s="175">
        <v>0</v>
      </c>
      <c r="F11" s="175">
        <v>0</v>
      </c>
      <c r="G11" s="175">
        <v>0</v>
      </c>
    </row>
    <row r="12" spans="1:16384" ht="18" customHeight="1">
      <c r="A12" s="159" t="s">
        <v>500</v>
      </c>
      <c r="B12" s="172" t="s">
        <v>510</v>
      </c>
      <c r="C12" s="173" t="s">
        <v>510</v>
      </c>
      <c r="D12" s="173">
        <v>2.0499999999999998</v>
      </c>
      <c r="E12" s="173" t="s">
        <v>510</v>
      </c>
      <c r="F12" s="173">
        <v>0.56999999999999995</v>
      </c>
      <c r="G12" s="173">
        <v>0</v>
      </c>
    </row>
    <row r="13" spans="1:16384" ht="18" customHeight="1">
      <c r="A13" s="159" t="s">
        <v>501</v>
      </c>
      <c r="B13" s="172" t="s">
        <v>510</v>
      </c>
      <c r="C13" s="173" t="s">
        <v>510</v>
      </c>
      <c r="D13" s="173">
        <v>2.87</v>
      </c>
      <c r="E13" s="173">
        <v>2.66</v>
      </c>
      <c r="F13" s="173">
        <v>2.5499999999999998</v>
      </c>
      <c r="G13" s="173">
        <v>4.99</v>
      </c>
    </row>
    <row r="14" spans="1:16384" ht="18" customHeight="1">
      <c r="A14" s="158"/>
      <c r="B14" s="161"/>
      <c r="C14" s="161"/>
      <c r="D14" s="161"/>
      <c r="E14" s="161"/>
      <c r="F14" s="161"/>
      <c r="G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2">
        <v>198</v>
      </c>
      <c r="F16" s="172">
        <v>282</v>
      </c>
      <c r="G16" s="172">
        <v>530</v>
      </c>
    </row>
    <row r="17" spans="1:8" ht="18" customHeight="1">
      <c r="A17" s="159" t="s">
        <v>476</v>
      </c>
      <c r="B17" s="172" t="s">
        <v>510</v>
      </c>
      <c r="C17" s="172">
        <v>0</v>
      </c>
      <c r="D17" s="172">
        <v>27</v>
      </c>
      <c r="E17" s="172">
        <v>47</v>
      </c>
      <c r="F17" s="172">
        <v>62</v>
      </c>
      <c r="G17" s="172">
        <v>66</v>
      </c>
    </row>
    <row r="18" spans="1:8" ht="18" customHeight="1">
      <c r="A18" s="159" t="s">
        <v>495</v>
      </c>
      <c r="B18" s="172" t="s">
        <v>510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</row>
    <row r="19" spans="1:8" ht="18" customHeight="1">
      <c r="A19" s="163" t="s">
        <v>493</v>
      </c>
      <c r="B19" s="172" t="s">
        <v>510</v>
      </c>
      <c r="C19" s="172">
        <v>0</v>
      </c>
      <c r="D19" s="172">
        <v>81.58</v>
      </c>
      <c r="E19" s="172">
        <v>78.569999999999993</v>
      </c>
      <c r="F19" s="172">
        <v>0</v>
      </c>
      <c r="G19" s="172">
        <v>0</v>
      </c>
    </row>
    <row r="20" spans="1:8" ht="18" customHeight="1">
      <c r="A20" s="158"/>
      <c r="B20" s="161"/>
      <c r="C20" s="161"/>
      <c r="D20" s="161"/>
      <c r="E20" s="161"/>
      <c r="F20" s="161"/>
      <c r="G20" s="161"/>
    </row>
    <row r="21" spans="1:8" ht="18" customHeight="1">
      <c r="A21" s="164" t="s">
        <v>477</v>
      </c>
      <c r="B21" s="164"/>
      <c r="C21" s="164"/>
      <c r="D21" s="164"/>
      <c r="E21" s="164"/>
      <c r="F21" s="164"/>
      <c r="G21" s="164"/>
      <c r="H21" s="171"/>
    </row>
    <row r="22" spans="1:8" ht="18" customHeight="1">
      <c r="A22" s="163" t="s">
        <v>514</v>
      </c>
      <c r="B22" s="175" t="s">
        <v>510</v>
      </c>
      <c r="C22" s="175">
        <v>15608.060921964699</v>
      </c>
      <c r="D22" s="175">
        <v>43029.758882999995</v>
      </c>
      <c r="E22" s="175">
        <v>31848.59517542132</v>
      </c>
      <c r="F22" s="175">
        <v>31136.772025900002</v>
      </c>
      <c r="G22" s="175">
        <v>31343</v>
      </c>
      <c r="H22" s="171"/>
    </row>
    <row r="23" spans="1:8" ht="18" customHeight="1">
      <c r="A23" s="163" t="s">
        <v>513</v>
      </c>
      <c r="B23" s="175" t="s">
        <v>510</v>
      </c>
      <c r="C23" s="175">
        <v>1429.7308508246999</v>
      </c>
      <c r="D23" s="175">
        <v>2814.6570429999997</v>
      </c>
      <c r="E23" s="175">
        <v>2468.8860154213198</v>
      </c>
      <c r="F23" s="175">
        <v>1966.0922659</v>
      </c>
      <c r="G23" s="175">
        <v>2224</v>
      </c>
    </row>
    <row r="24" spans="1:8" ht="18" customHeight="1">
      <c r="A24" s="163" t="s">
        <v>511</v>
      </c>
      <c r="B24" s="175" t="s">
        <v>510</v>
      </c>
      <c r="C24" s="175">
        <v>14078.276905899998</v>
      </c>
      <c r="D24" s="175">
        <v>40070.03</v>
      </c>
      <c r="E24" s="175">
        <v>29115.881600000001</v>
      </c>
      <c r="F24" s="175">
        <v>28885.278000000002</v>
      </c>
      <c r="G24" s="175">
        <v>28745</v>
      </c>
    </row>
    <row r="25" spans="1:8" ht="18" customHeight="1">
      <c r="A25" s="163" t="s">
        <v>512</v>
      </c>
      <c r="B25" s="175" t="s">
        <v>510</v>
      </c>
      <c r="C25" s="175">
        <v>100.05316524</v>
      </c>
      <c r="D25" s="175">
        <v>145.07184000000001</v>
      </c>
      <c r="E25" s="175">
        <v>263.82756000000001</v>
      </c>
      <c r="F25" s="175">
        <v>285.40176000000002</v>
      </c>
      <c r="G25" s="175">
        <v>374</v>
      </c>
    </row>
    <row r="26" spans="1:8" ht="18" customHeight="1">
      <c r="A26" s="163" t="s">
        <v>492</v>
      </c>
      <c r="B26" s="175" t="s">
        <v>510</v>
      </c>
      <c r="C26" s="175">
        <v>32.4</v>
      </c>
      <c r="D26" s="175">
        <v>84.8</v>
      </c>
      <c r="E26" s="175">
        <v>65.400000000000006</v>
      </c>
      <c r="F26" s="175">
        <v>66.3</v>
      </c>
      <c r="G26" s="175">
        <v>69</v>
      </c>
    </row>
    <row r="27" spans="1:8" ht="18" customHeight="1">
      <c r="A27" s="170" t="s">
        <v>505</v>
      </c>
      <c r="B27" s="178" t="s">
        <v>510</v>
      </c>
      <c r="C27" s="178">
        <v>1.84</v>
      </c>
      <c r="D27" s="178">
        <v>1.73</v>
      </c>
      <c r="E27" s="178">
        <v>1.54</v>
      </c>
      <c r="F27" s="178">
        <v>1.53</v>
      </c>
      <c r="G27" s="178">
        <v>1.5</v>
      </c>
    </row>
    <row r="28" spans="1:8" ht="18" customHeight="1">
      <c r="A28" s="166"/>
      <c r="B28" s="161"/>
      <c r="C28" s="161"/>
      <c r="D28" s="161"/>
      <c r="E28" s="161"/>
      <c r="F28" s="161"/>
      <c r="G28" s="161"/>
    </row>
    <row r="29" spans="1:8" ht="18" customHeight="1">
      <c r="A29" s="164" t="s">
        <v>479</v>
      </c>
      <c r="B29" s="164"/>
      <c r="C29" s="164"/>
      <c r="D29" s="164"/>
      <c r="E29" s="164"/>
      <c r="F29" s="164"/>
      <c r="G29" s="164"/>
    </row>
    <row r="30" spans="1:8" ht="18" customHeight="1">
      <c r="A30" s="163" t="s">
        <v>504</v>
      </c>
      <c r="B30" s="175" t="s">
        <v>510</v>
      </c>
      <c r="C30" s="175">
        <v>26636</v>
      </c>
      <c r="D30" s="175">
        <v>14182</v>
      </c>
      <c r="E30" s="175">
        <v>19481</v>
      </c>
      <c r="F30" s="175">
        <v>14447</v>
      </c>
      <c r="G30" s="175">
        <v>20733</v>
      </c>
    </row>
    <row r="31" spans="1:8" ht="18" customHeight="1">
      <c r="A31" s="163" t="s">
        <v>502</v>
      </c>
      <c r="B31" s="175" t="s">
        <v>510</v>
      </c>
      <c r="C31" s="175">
        <v>7572</v>
      </c>
      <c r="D31" s="175">
        <v>18485</v>
      </c>
      <c r="E31" s="175">
        <v>20868</v>
      </c>
      <c r="F31" s="175">
        <v>18830</v>
      </c>
      <c r="G31" s="175">
        <v>19673</v>
      </c>
    </row>
    <row r="32" spans="1:8" ht="18" customHeight="1">
      <c r="A32" s="163" t="s">
        <v>480</v>
      </c>
      <c r="B32" s="175" t="s">
        <v>510</v>
      </c>
      <c r="C32" s="175">
        <v>152</v>
      </c>
      <c r="D32" s="175">
        <v>351</v>
      </c>
      <c r="E32" s="175">
        <v>333</v>
      </c>
      <c r="F32" s="175">
        <v>316</v>
      </c>
      <c r="G32" s="175">
        <v>327</v>
      </c>
    </row>
    <row r="33" spans="1:7" ht="18" customHeight="1">
      <c r="A33" s="163" t="s">
        <v>481</v>
      </c>
      <c r="B33" s="175" t="s">
        <v>510</v>
      </c>
      <c r="C33" s="172">
        <v>20.61</v>
      </c>
      <c r="D33" s="172">
        <v>14.25</v>
      </c>
      <c r="E33" s="172">
        <v>18.22</v>
      </c>
      <c r="F33" s="172">
        <v>14.87</v>
      </c>
      <c r="G33" s="172">
        <v>15</v>
      </c>
    </row>
    <row r="34" spans="1:7" ht="18" customHeight="1">
      <c r="A34" s="163" t="s">
        <v>491</v>
      </c>
      <c r="B34" s="175" t="s">
        <v>510</v>
      </c>
      <c r="C34" s="175">
        <v>31</v>
      </c>
      <c r="D34" s="175">
        <v>93</v>
      </c>
      <c r="E34" s="175">
        <v>1592</v>
      </c>
      <c r="F34" s="175">
        <v>281</v>
      </c>
      <c r="G34" s="175">
        <v>71</v>
      </c>
    </row>
    <row r="35" spans="1:7" ht="18" customHeight="1">
      <c r="A35" s="163" t="s">
        <v>482</v>
      </c>
      <c r="B35" s="178" t="s">
        <v>510</v>
      </c>
      <c r="C35" s="172">
        <v>100</v>
      </c>
      <c r="D35" s="172">
        <v>100</v>
      </c>
      <c r="E35" s="172">
        <v>100</v>
      </c>
      <c r="F35" s="172">
        <v>100</v>
      </c>
      <c r="G35" s="172">
        <v>100</v>
      </c>
    </row>
    <row r="36" spans="1:7" ht="27.75" customHeight="1">
      <c r="A36" s="148" t="s">
        <v>413</v>
      </c>
    </row>
    <row r="37" spans="1:7" ht="15.5">
      <c r="A37" s="148" t="s">
        <v>518</v>
      </c>
    </row>
  </sheetData>
  <pageMargins left="0.24" right="0.24" top="0.984251969" bottom="0.984251969" header="0.5" footer="0.5"/>
  <pageSetup paperSize="9" scale="73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54296875" style="56" customWidth="1"/>
    <col min="2" max="7" width="11.7265625" style="56" customWidth="1"/>
    <col min="8" max="16384" width="11.453125" style="56"/>
  </cols>
  <sheetData>
    <row r="1" spans="1:16384" ht="16" thickBot="1">
      <c r="A1" s="149" t="s">
        <v>521</v>
      </c>
      <c r="B1" s="150"/>
      <c r="C1" s="150"/>
      <c r="D1" s="150"/>
      <c r="E1" s="150"/>
      <c r="F1" s="150"/>
      <c r="G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</row>
    <row r="4" spans="1:16384" ht="18" customHeight="1">
      <c r="A4" s="159" t="s">
        <v>486</v>
      </c>
      <c r="B4" s="175">
        <v>1130</v>
      </c>
      <c r="C4" s="175">
        <v>951</v>
      </c>
      <c r="D4" s="175">
        <v>1010</v>
      </c>
      <c r="E4" s="175">
        <v>1059</v>
      </c>
      <c r="F4" s="175">
        <v>1156</v>
      </c>
      <c r="G4" s="175">
        <v>1109</v>
      </c>
    </row>
    <row r="5" spans="1:16384" ht="18" customHeight="1">
      <c r="A5" s="159" t="s">
        <v>487</v>
      </c>
      <c r="B5" s="172">
        <v>54</v>
      </c>
      <c r="C5" s="172">
        <v>53.2</v>
      </c>
      <c r="D5" s="172">
        <v>51.8</v>
      </c>
      <c r="E5" s="172">
        <v>50.7</v>
      </c>
      <c r="F5" s="172">
        <v>0.51</v>
      </c>
      <c r="G5" s="172">
        <v>53</v>
      </c>
    </row>
    <row r="6" spans="1:16384" ht="18" customHeight="1">
      <c r="A6" s="159" t="s">
        <v>488</v>
      </c>
      <c r="B6" s="172">
        <v>0</v>
      </c>
      <c r="C6" s="172">
        <v>0</v>
      </c>
      <c r="D6" s="172">
        <v>0</v>
      </c>
      <c r="E6" s="172">
        <v>14.2</v>
      </c>
      <c r="F6" s="172">
        <v>28.6</v>
      </c>
      <c r="G6" s="172">
        <v>50</v>
      </c>
    </row>
    <row r="7" spans="1:16384" ht="18" customHeight="1">
      <c r="A7" s="167" t="s">
        <v>483</v>
      </c>
      <c r="B7" s="172">
        <v>120</v>
      </c>
      <c r="C7" s="172" t="s">
        <v>510</v>
      </c>
      <c r="D7" s="172">
        <v>145</v>
      </c>
      <c r="E7" s="172">
        <v>140</v>
      </c>
      <c r="F7" s="172">
        <v>206</v>
      </c>
      <c r="G7" s="172">
        <v>266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</row>
    <row r="11" spans="1:16384" ht="18" customHeight="1">
      <c r="A11" s="159" t="s">
        <v>515</v>
      </c>
      <c r="B11" s="176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</row>
    <row r="12" spans="1:16384" ht="18" customHeight="1">
      <c r="A12" s="159" t="s">
        <v>500</v>
      </c>
      <c r="B12" s="173">
        <v>0.5</v>
      </c>
      <c r="C12" s="173">
        <v>0</v>
      </c>
      <c r="D12" s="173">
        <v>1.67</v>
      </c>
      <c r="E12" s="173">
        <v>1.06</v>
      </c>
      <c r="F12" s="173">
        <v>0.49</v>
      </c>
      <c r="G12" s="173">
        <v>0.55000000000000004</v>
      </c>
    </row>
    <row r="13" spans="1:16384" ht="19.5" customHeight="1">
      <c r="A13" s="159" t="s">
        <v>501</v>
      </c>
      <c r="B13" s="173">
        <v>1.66</v>
      </c>
      <c r="C13" s="173">
        <v>1.73</v>
      </c>
      <c r="D13" s="174">
        <v>2.29</v>
      </c>
      <c r="E13" s="173">
        <v>2.25</v>
      </c>
      <c r="F13" s="173">
        <v>2.19</v>
      </c>
      <c r="G13" s="173">
        <v>2.98</v>
      </c>
    </row>
    <row r="14" spans="1:16384" ht="18" customHeight="1">
      <c r="A14" s="158"/>
      <c r="B14" s="161"/>
      <c r="C14" s="161"/>
      <c r="D14" s="161"/>
      <c r="E14" s="161"/>
      <c r="F14" s="161"/>
      <c r="G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2">
        <v>25</v>
      </c>
      <c r="F16" s="172">
        <v>432</v>
      </c>
      <c r="G16" s="172">
        <v>493</v>
      </c>
    </row>
    <row r="17" spans="1:8" ht="18" customHeight="1">
      <c r="A17" s="159" t="s">
        <v>476</v>
      </c>
      <c r="B17" s="172">
        <v>30</v>
      </c>
      <c r="C17" s="172">
        <v>5</v>
      </c>
      <c r="D17" s="172">
        <v>34</v>
      </c>
      <c r="E17" s="172">
        <v>41</v>
      </c>
      <c r="F17" s="172">
        <v>52</v>
      </c>
      <c r="G17" s="172">
        <v>52</v>
      </c>
    </row>
    <row r="18" spans="1:8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</row>
    <row r="19" spans="1:8" ht="18" customHeight="1">
      <c r="A19" s="163" t="s">
        <v>493</v>
      </c>
      <c r="B19" s="172">
        <v>19.05</v>
      </c>
      <c r="C19" s="172">
        <v>0</v>
      </c>
      <c r="D19" s="172">
        <v>0</v>
      </c>
      <c r="E19" s="172">
        <v>0</v>
      </c>
      <c r="F19" s="172">
        <v>3.7</v>
      </c>
      <c r="G19" s="172">
        <v>19</v>
      </c>
    </row>
    <row r="20" spans="1:8" ht="18" customHeight="1">
      <c r="A20" s="158"/>
      <c r="B20" s="161"/>
      <c r="C20" s="161"/>
      <c r="D20" s="161"/>
      <c r="E20" s="161"/>
      <c r="F20" s="161"/>
      <c r="G20" s="161"/>
    </row>
    <row r="21" spans="1:8" ht="18" customHeight="1">
      <c r="A21" s="164" t="s">
        <v>477</v>
      </c>
      <c r="B21" s="164"/>
      <c r="C21" s="164"/>
      <c r="D21" s="164"/>
      <c r="E21" s="164"/>
      <c r="F21" s="164"/>
      <c r="G21" s="164"/>
      <c r="H21" s="171"/>
    </row>
    <row r="22" spans="1:8" ht="18" customHeight="1">
      <c r="A22" s="163" t="s">
        <v>514</v>
      </c>
      <c r="B22" s="175">
        <v>20421.015515999996</v>
      </c>
      <c r="C22" s="175">
        <v>16751.854732999993</v>
      </c>
      <c r="D22" s="175">
        <v>21637.604422</v>
      </c>
      <c r="E22" s="175">
        <v>22791.207880400005</v>
      </c>
      <c r="F22" s="175">
        <v>23753.418601208003</v>
      </c>
      <c r="G22" s="175">
        <v>23365</v>
      </c>
      <c r="H22" s="171"/>
    </row>
    <row r="23" spans="1:8" ht="18" customHeight="1">
      <c r="A23" s="163" t="s">
        <v>513</v>
      </c>
      <c r="B23" s="175">
        <v>1404.5919859999999</v>
      </c>
      <c r="C23" s="175">
        <v>1428.159932999992</v>
      </c>
      <c r="D23" s="175">
        <v>1493.1279020000002</v>
      </c>
      <c r="E23" s="175">
        <v>1471.3969603999999</v>
      </c>
      <c r="F23" s="175">
        <v>1033.1375760000001</v>
      </c>
      <c r="G23" s="175">
        <v>1492</v>
      </c>
    </row>
    <row r="24" spans="1:8" ht="18" customHeight="1">
      <c r="A24" s="163" t="s">
        <v>511</v>
      </c>
      <c r="B24" s="175">
        <v>18714.871629999998</v>
      </c>
      <c r="C24" s="175">
        <v>15035.18</v>
      </c>
      <c r="D24" s="175">
        <v>18727.28</v>
      </c>
      <c r="E24" s="175">
        <v>20119.536000000004</v>
      </c>
      <c r="F24" s="175">
        <v>21178.167000000001</v>
      </c>
      <c r="G24" s="175">
        <v>20901</v>
      </c>
    </row>
    <row r="25" spans="1:8" ht="18" customHeight="1">
      <c r="A25" s="163" t="s">
        <v>512</v>
      </c>
      <c r="B25" s="175">
        <v>301.55189999999999</v>
      </c>
      <c r="C25" s="175">
        <v>288.51479999999998</v>
      </c>
      <c r="D25" s="175">
        <v>1417.19652</v>
      </c>
      <c r="E25" s="175">
        <v>1200.2749199999998</v>
      </c>
      <c r="F25" s="175">
        <v>1542.1140252079999</v>
      </c>
      <c r="G25" s="175">
        <v>972</v>
      </c>
    </row>
    <row r="26" spans="1:8" ht="18" customHeight="1">
      <c r="A26" s="163" t="s">
        <v>492</v>
      </c>
      <c r="B26" s="175">
        <v>66.5</v>
      </c>
      <c r="C26" s="175">
        <v>63.7</v>
      </c>
      <c r="D26" s="175">
        <v>75</v>
      </c>
      <c r="E26" s="175">
        <v>78.7</v>
      </c>
      <c r="F26" s="175">
        <v>82.4</v>
      </c>
      <c r="G26" s="175">
        <v>85</v>
      </c>
    </row>
    <row r="27" spans="1:8" ht="18" customHeight="1">
      <c r="A27" s="170" t="s">
        <v>505</v>
      </c>
      <c r="B27" s="178">
        <v>1.43</v>
      </c>
      <c r="C27" s="178">
        <v>1.37</v>
      </c>
      <c r="D27" s="178">
        <v>1.4</v>
      </c>
      <c r="E27" s="178">
        <v>1.5</v>
      </c>
      <c r="F27" s="178">
        <v>1.61</v>
      </c>
      <c r="G27" s="178">
        <v>1.6</v>
      </c>
    </row>
    <row r="28" spans="1:8" ht="18" customHeight="1">
      <c r="A28" s="166"/>
      <c r="B28" s="161"/>
      <c r="C28" s="161"/>
      <c r="D28" s="161"/>
      <c r="E28" s="161"/>
      <c r="F28" s="161"/>
      <c r="G28" s="161"/>
    </row>
    <row r="29" spans="1:8" ht="18" customHeight="1">
      <c r="A29" s="164" t="s">
        <v>479</v>
      </c>
      <c r="B29" s="164"/>
      <c r="C29" s="164"/>
      <c r="D29" s="164"/>
      <c r="E29" s="164"/>
      <c r="F29" s="164"/>
      <c r="G29" s="164"/>
    </row>
    <row r="30" spans="1:8" ht="18" customHeight="1">
      <c r="A30" s="163" t="s">
        <v>504</v>
      </c>
      <c r="B30" s="175">
        <v>0</v>
      </c>
      <c r="C30" s="175">
        <v>0</v>
      </c>
      <c r="D30" s="175">
        <v>20000</v>
      </c>
      <c r="E30" s="175">
        <v>2152</v>
      </c>
      <c r="F30" s="175">
        <v>7880</v>
      </c>
      <c r="G30" s="175">
        <v>3415</v>
      </c>
    </row>
    <row r="31" spans="1:8" ht="18" customHeight="1">
      <c r="A31" s="163" t="s">
        <v>502</v>
      </c>
      <c r="B31" s="175">
        <v>17956</v>
      </c>
      <c r="C31" s="175">
        <v>19866</v>
      </c>
      <c r="D31" s="175">
        <v>19656</v>
      </c>
      <c r="E31" s="175">
        <v>18327</v>
      </c>
      <c r="F31" s="175">
        <v>20826</v>
      </c>
      <c r="G31" s="175">
        <v>16784</v>
      </c>
    </row>
    <row r="32" spans="1:8" ht="18" customHeight="1">
      <c r="A32" s="163" t="s">
        <v>480</v>
      </c>
      <c r="B32" s="175">
        <v>265</v>
      </c>
      <c r="C32" s="175">
        <v>131</v>
      </c>
      <c r="D32" s="175">
        <v>196</v>
      </c>
      <c r="E32" s="175">
        <v>214</v>
      </c>
      <c r="F32" s="175">
        <v>258</v>
      </c>
      <c r="G32" s="175">
        <v>234</v>
      </c>
    </row>
    <row r="33" spans="1:7" ht="18" customHeight="1">
      <c r="A33" s="163" t="s">
        <v>481</v>
      </c>
      <c r="B33" s="172">
        <v>54</v>
      </c>
      <c r="C33" s="172">
        <v>54.36</v>
      </c>
      <c r="D33" s="172">
        <v>20.38</v>
      </c>
      <c r="E33" s="172">
        <v>24.19</v>
      </c>
      <c r="F33" s="172">
        <v>20.48</v>
      </c>
      <c r="G33" s="172">
        <v>21</v>
      </c>
    </row>
    <row r="34" spans="1:7" ht="18" customHeight="1">
      <c r="A34" s="163" t="s">
        <v>491</v>
      </c>
      <c r="B34" s="175">
        <v>230</v>
      </c>
      <c r="C34" s="175">
        <v>138</v>
      </c>
      <c r="D34" s="175">
        <v>133</v>
      </c>
      <c r="E34" s="175">
        <v>113</v>
      </c>
      <c r="F34" s="175">
        <v>114</v>
      </c>
      <c r="G34" s="175">
        <v>121</v>
      </c>
    </row>
    <row r="35" spans="1:7" ht="19.5" customHeight="1">
      <c r="A35" s="163" t="s">
        <v>482</v>
      </c>
      <c r="B35" s="175">
        <v>100</v>
      </c>
      <c r="C35" s="175">
        <v>100</v>
      </c>
      <c r="D35" s="175">
        <v>100</v>
      </c>
      <c r="E35" s="175">
        <v>100</v>
      </c>
      <c r="F35" s="175">
        <v>100</v>
      </c>
      <c r="G35" s="175">
        <v>100</v>
      </c>
    </row>
    <row r="36" spans="1:7" ht="24.75" customHeight="1">
      <c r="A36" s="148" t="s">
        <v>413</v>
      </c>
    </row>
  </sheetData>
  <pageMargins left="0.24" right="0.24" top="0.984251969" bottom="0.984251969" header="0.5" footer="0.5"/>
  <pageSetup paperSize="9" scale="73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54296875" style="56" customWidth="1"/>
    <col min="2" max="7" width="11.7265625" style="56" customWidth="1"/>
    <col min="8" max="16384" width="11.453125" style="56"/>
  </cols>
  <sheetData>
    <row r="1" spans="1:16384" ht="16" thickBot="1">
      <c r="A1" s="149" t="s">
        <v>522</v>
      </c>
      <c r="B1" s="150"/>
      <c r="C1" s="150"/>
      <c r="D1" s="150"/>
      <c r="E1" s="150"/>
      <c r="F1" s="150"/>
      <c r="G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</row>
    <row r="4" spans="1:16384" ht="18" customHeight="1">
      <c r="A4" s="159" t="s">
        <v>486</v>
      </c>
      <c r="B4" s="175">
        <v>310</v>
      </c>
      <c r="C4" s="175">
        <v>202</v>
      </c>
      <c r="D4" s="175">
        <v>255</v>
      </c>
      <c r="E4" s="175">
        <v>245</v>
      </c>
      <c r="F4" s="175">
        <v>233</v>
      </c>
      <c r="G4" s="175">
        <v>219</v>
      </c>
    </row>
    <row r="5" spans="1:16384" ht="18" customHeight="1">
      <c r="A5" s="159" t="s">
        <v>487</v>
      </c>
      <c r="B5" s="175">
        <v>50</v>
      </c>
      <c r="C5" s="175">
        <v>48.5</v>
      </c>
      <c r="D5" s="175">
        <v>56.5</v>
      </c>
      <c r="E5" s="175">
        <v>56.7</v>
      </c>
      <c r="F5" s="175">
        <v>55.4</v>
      </c>
      <c r="G5" s="175">
        <v>55</v>
      </c>
    </row>
    <row r="6" spans="1:16384" ht="18" customHeight="1">
      <c r="A6" s="159" t="s">
        <v>488</v>
      </c>
      <c r="B6" s="175">
        <v>40</v>
      </c>
      <c r="C6" s="175" t="s">
        <v>510</v>
      </c>
      <c r="D6" s="175">
        <v>28.6</v>
      </c>
      <c r="E6" s="175">
        <v>100</v>
      </c>
      <c r="F6" s="175">
        <v>100</v>
      </c>
      <c r="G6" s="175">
        <v>57</v>
      </c>
    </row>
    <row r="7" spans="1:16384" ht="18" customHeight="1">
      <c r="A7" s="167" t="s">
        <v>483</v>
      </c>
      <c r="B7" s="175">
        <v>38</v>
      </c>
      <c r="C7" s="172" t="s">
        <v>510</v>
      </c>
      <c r="D7" s="172">
        <v>48</v>
      </c>
      <c r="E7" s="172">
        <v>28</v>
      </c>
      <c r="F7" s="172">
        <v>17</v>
      </c>
      <c r="G7" s="172">
        <v>16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</row>
    <row r="12" spans="1:16384" ht="18" customHeight="1">
      <c r="A12" s="159" t="s">
        <v>500</v>
      </c>
      <c r="B12" s="172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</row>
    <row r="13" spans="1:16384" ht="18" customHeight="1">
      <c r="A13" s="159" t="s">
        <v>501</v>
      </c>
      <c r="B13" s="172">
        <v>1.4</v>
      </c>
      <c r="C13" s="173">
        <v>0.92</v>
      </c>
      <c r="D13" s="174">
        <v>1.52</v>
      </c>
      <c r="E13" s="173">
        <v>2.74</v>
      </c>
      <c r="F13" s="173">
        <v>2.27</v>
      </c>
      <c r="G13" s="173">
        <v>2.2200000000000002</v>
      </c>
    </row>
    <row r="14" spans="1:16384" ht="18" customHeight="1">
      <c r="A14" s="158"/>
      <c r="B14" s="161"/>
      <c r="C14" s="161"/>
      <c r="D14" s="161"/>
      <c r="E14" s="161"/>
      <c r="F14" s="161"/>
      <c r="G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2">
        <v>0</v>
      </c>
      <c r="F16" s="172">
        <v>30</v>
      </c>
      <c r="G16" s="172">
        <v>95</v>
      </c>
    </row>
    <row r="17" spans="1:8" ht="18" customHeight="1">
      <c r="A17" s="159" t="s">
        <v>476</v>
      </c>
      <c r="B17" s="172">
        <v>24</v>
      </c>
      <c r="C17" s="172">
        <v>16</v>
      </c>
      <c r="D17" s="172">
        <v>20</v>
      </c>
      <c r="E17" s="172">
        <v>20</v>
      </c>
      <c r="F17" s="172">
        <v>34</v>
      </c>
      <c r="G17" s="172">
        <v>32</v>
      </c>
    </row>
    <row r="18" spans="1:8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</row>
    <row r="19" spans="1:8" ht="18" customHeight="1">
      <c r="A19" s="163" t="s">
        <v>493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100</v>
      </c>
    </row>
    <row r="20" spans="1:8" ht="18" customHeight="1">
      <c r="A20" s="158"/>
      <c r="B20" s="161"/>
      <c r="C20" s="161"/>
      <c r="D20" s="161"/>
      <c r="E20" s="161"/>
      <c r="F20" s="161"/>
      <c r="G20" s="161"/>
    </row>
    <row r="21" spans="1:8" ht="18" customHeight="1">
      <c r="A21" s="164" t="s">
        <v>477</v>
      </c>
      <c r="B21" s="164"/>
      <c r="C21" s="164"/>
      <c r="D21" s="164"/>
      <c r="E21" s="164"/>
      <c r="F21" s="164"/>
      <c r="G21" s="164"/>
      <c r="H21" s="171"/>
    </row>
    <row r="22" spans="1:8" ht="18" customHeight="1">
      <c r="A22" s="163" t="s">
        <v>514</v>
      </c>
      <c r="B22" s="175">
        <v>1914.7126071499999</v>
      </c>
      <c r="C22" s="175">
        <v>2955.3878062600002</v>
      </c>
      <c r="D22" s="175">
        <v>4693.3035091299998</v>
      </c>
      <c r="E22" s="175">
        <v>5158.0536933999992</v>
      </c>
      <c r="F22" s="175">
        <v>5325.8439343999999</v>
      </c>
      <c r="G22" s="175">
        <v>5134</v>
      </c>
      <c r="H22" s="171"/>
    </row>
    <row r="23" spans="1:8" ht="18" customHeight="1">
      <c r="A23" s="163" t="s">
        <v>513</v>
      </c>
      <c r="B23" s="175">
        <v>269.73007715</v>
      </c>
      <c r="C23" s="175">
        <v>242.11202426</v>
      </c>
      <c r="D23" s="175">
        <v>232.69932972999999</v>
      </c>
      <c r="E23" s="175">
        <v>343.81443339999998</v>
      </c>
      <c r="F23" s="175">
        <v>289.1280744</v>
      </c>
      <c r="G23" s="175">
        <v>243</v>
      </c>
    </row>
    <row r="24" spans="1:8" ht="18" customHeight="1">
      <c r="A24" s="163" t="s">
        <v>511</v>
      </c>
      <c r="B24" s="175">
        <v>1510.0497</v>
      </c>
      <c r="C24" s="175">
        <v>2630.7527</v>
      </c>
      <c r="D24" s="175">
        <v>4154.88</v>
      </c>
      <c r="E24" s="175">
        <v>4503.0599999999995</v>
      </c>
      <c r="F24" s="175">
        <v>4611.4400000000005</v>
      </c>
      <c r="G24" s="175">
        <v>4778</v>
      </c>
    </row>
    <row r="25" spans="1:8" ht="18" customHeight="1">
      <c r="A25" s="163" t="s">
        <v>512</v>
      </c>
      <c r="B25" s="175">
        <v>134.93283</v>
      </c>
      <c r="C25" s="175">
        <v>82.523082000000002</v>
      </c>
      <c r="D25" s="175">
        <v>305.72417940000003</v>
      </c>
      <c r="E25" s="175">
        <v>311.17926</v>
      </c>
      <c r="F25" s="175">
        <v>425.27586000000002</v>
      </c>
      <c r="G25" s="175">
        <v>113</v>
      </c>
    </row>
    <row r="26" spans="1:8" ht="18" customHeight="1">
      <c r="A26" s="163" t="s">
        <v>492</v>
      </c>
      <c r="B26" s="175">
        <v>5.5</v>
      </c>
      <c r="C26" s="175">
        <v>8.4</v>
      </c>
      <c r="D26" s="175">
        <v>9.9</v>
      </c>
      <c r="E26" s="175">
        <v>11.2</v>
      </c>
      <c r="F26" s="175">
        <v>12.7</v>
      </c>
      <c r="G26" s="175">
        <v>12</v>
      </c>
    </row>
    <row r="27" spans="1:8" ht="18" customHeight="1">
      <c r="A27" s="170" t="s">
        <v>505</v>
      </c>
      <c r="B27" s="178">
        <v>0.71</v>
      </c>
      <c r="C27" s="178">
        <v>0.86</v>
      </c>
      <c r="D27" s="178">
        <v>0.96</v>
      </c>
      <c r="E27" s="178">
        <v>0.98</v>
      </c>
      <c r="F27" s="178">
        <v>1.1299999999999999</v>
      </c>
      <c r="G27" s="178">
        <v>1.3</v>
      </c>
    </row>
    <row r="28" spans="1:8" ht="18" customHeight="1">
      <c r="A28" s="166"/>
      <c r="B28" s="161"/>
      <c r="C28" s="161"/>
      <c r="D28" s="161"/>
      <c r="E28" s="161"/>
      <c r="F28" s="161"/>
      <c r="G28" s="161"/>
    </row>
    <row r="29" spans="1:8" ht="18" customHeight="1">
      <c r="A29" s="164" t="s">
        <v>479</v>
      </c>
      <c r="B29" s="164"/>
      <c r="C29" s="164"/>
      <c r="D29" s="164"/>
      <c r="E29" s="164"/>
      <c r="F29" s="164"/>
      <c r="G29" s="164"/>
    </row>
    <row r="30" spans="1:8" ht="18" customHeight="1">
      <c r="A30" s="163" t="s">
        <v>504</v>
      </c>
      <c r="B30" s="175" t="s">
        <v>510</v>
      </c>
      <c r="C30" s="175">
        <v>1</v>
      </c>
      <c r="D30" s="175">
        <v>4000</v>
      </c>
      <c r="E30" s="175">
        <v>0</v>
      </c>
      <c r="F30" s="175">
        <v>0</v>
      </c>
      <c r="G30" s="175">
        <v>0</v>
      </c>
    </row>
    <row r="31" spans="1:8" ht="18" customHeight="1">
      <c r="A31" s="163" t="s">
        <v>502</v>
      </c>
      <c r="B31" s="175" t="s">
        <v>510</v>
      </c>
      <c r="C31" s="175">
        <v>3690</v>
      </c>
      <c r="D31" s="175">
        <v>3729</v>
      </c>
      <c r="E31" s="175">
        <v>3879</v>
      </c>
      <c r="F31" s="175">
        <v>4594</v>
      </c>
      <c r="G31" s="175">
        <v>3499</v>
      </c>
    </row>
    <row r="32" spans="1:8" ht="18" customHeight="1">
      <c r="A32" s="163" t="s">
        <v>480</v>
      </c>
      <c r="B32" s="175" t="s">
        <v>510</v>
      </c>
      <c r="C32" s="172">
        <v>0</v>
      </c>
      <c r="D32" s="172">
        <v>0</v>
      </c>
      <c r="E32" s="172">
        <v>5</v>
      </c>
      <c r="F32" s="172">
        <v>6</v>
      </c>
      <c r="G32" s="172">
        <v>3</v>
      </c>
    </row>
    <row r="33" spans="1:7" ht="18" customHeight="1">
      <c r="A33" s="163" t="s">
        <v>481</v>
      </c>
      <c r="B33" s="175" t="s">
        <v>510</v>
      </c>
      <c r="C33" s="172">
        <v>0</v>
      </c>
      <c r="D33" s="172">
        <v>0</v>
      </c>
      <c r="E33" s="172">
        <v>8.1</v>
      </c>
      <c r="F33" s="172">
        <v>100</v>
      </c>
      <c r="G33" s="172">
        <v>100</v>
      </c>
    </row>
    <row r="34" spans="1:7" ht="18" customHeight="1">
      <c r="A34" s="163" t="s">
        <v>491</v>
      </c>
      <c r="B34" s="175" t="s">
        <v>510</v>
      </c>
      <c r="C34" s="172">
        <v>65</v>
      </c>
      <c r="D34" s="172">
        <v>2</v>
      </c>
      <c r="E34" s="172">
        <v>1</v>
      </c>
      <c r="F34" s="172">
        <v>0</v>
      </c>
      <c r="G34" s="172">
        <v>1</v>
      </c>
    </row>
    <row r="35" spans="1:7" ht="21" customHeight="1">
      <c r="A35" s="163" t="s">
        <v>482</v>
      </c>
      <c r="B35" s="175" t="s">
        <v>510</v>
      </c>
      <c r="C35" s="172">
        <v>100</v>
      </c>
      <c r="D35" s="172">
        <v>100</v>
      </c>
      <c r="E35" s="172">
        <v>100</v>
      </c>
      <c r="F35" s="172">
        <v>0</v>
      </c>
      <c r="G35" s="172">
        <v>100</v>
      </c>
    </row>
    <row r="36" spans="1:7" ht="29.25" customHeight="1">
      <c r="A36" s="148" t="s">
        <v>413</v>
      </c>
    </row>
  </sheetData>
  <pageMargins left="0.24" right="0.24" top="0.984251969" bottom="0.984251969" header="0.5" footer="0.5"/>
  <pageSetup paperSize="9" scale="73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81640625" style="56" customWidth="1"/>
    <col min="2" max="7" width="11.7265625" style="56" customWidth="1"/>
    <col min="8" max="16384" width="11.453125" style="56"/>
  </cols>
  <sheetData>
    <row r="1" spans="1:16384" ht="16" thickBot="1">
      <c r="A1" s="149" t="s">
        <v>523</v>
      </c>
      <c r="B1" s="150"/>
      <c r="C1" s="150"/>
      <c r="D1" s="150"/>
      <c r="E1" s="150"/>
      <c r="F1" s="150"/>
      <c r="G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</row>
    <row r="4" spans="1:16384" ht="18" customHeight="1">
      <c r="A4" s="159" t="s">
        <v>486</v>
      </c>
      <c r="B4" s="175">
        <v>1207</v>
      </c>
      <c r="C4" s="175">
        <v>1072</v>
      </c>
      <c r="D4" s="175">
        <v>1108</v>
      </c>
      <c r="E4" s="175">
        <v>1079</v>
      </c>
      <c r="F4" s="175">
        <v>1004</v>
      </c>
      <c r="G4" s="175">
        <v>933</v>
      </c>
    </row>
    <row r="5" spans="1:16384" ht="18" customHeight="1">
      <c r="A5" s="159" t="s">
        <v>487</v>
      </c>
      <c r="B5" s="172">
        <v>49</v>
      </c>
      <c r="C5" s="172">
        <v>49.1</v>
      </c>
      <c r="D5" s="172">
        <v>54.3</v>
      </c>
      <c r="E5" s="172">
        <v>53.8</v>
      </c>
      <c r="F5" s="172">
        <v>53.9</v>
      </c>
      <c r="G5" s="172">
        <v>55</v>
      </c>
    </row>
    <row r="6" spans="1:16384" ht="18" customHeight="1">
      <c r="A6" s="159" t="s">
        <v>488</v>
      </c>
      <c r="B6" s="172">
        <v>37.5</v>
      </c>
      <c r="C6" s="172">
        <v>33.299999999999997</v>
      </c>
      <c r="D6" s="172">
        <v>25</v>
      </c>
      <c r="E6" s="172">
        <v>37.5</v>
      </c>
      <c r="F6" s="172">
        <v>33.299999999999997</v>
      </c>
      <c r="G6" s="172">
        <v>57</v>
      </c>
    </row>
    <row r="7" spans="1:16384" ht="18" customHeight="1">
      <c r="A7" s="167" t="s">
        <v>483</v>
      </c>
      <c r="B7" s="175">
        <v>117</v>
      </c>
      <c r="C7" s="172" t="s">
        <v>510</v>
      </c>
      <c r="D7" s="172">
        <v>101</v>
      </c>
      <c r="E7" s="172">
        <v>100</v>
      </c>
      <c r="F7" s="172">
        <v>101</v>
      </c>
      <c r="G7" s="172">
        <v>138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</row>
    <row r="11" spans="1:16384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</row>
    <row r="12" spans="1:16384" ht="18" customHeight="1">
      <c r="A12" s="159" t="s">
        <v>500</v>
      </c>
      <c r="B12" s="172">
        <v>0.52</v>
      </c>
      <c r="C12" s="173">
        <v>0.63</v>
      </c>
      <c r="D12" s="173">
        <v>0</v>
      </c>
      <c r="E12" s="173">
        <v>0</v>
      </c>
      <c r="F12" s="173">
        <v>0</v>
      </c>
      <c r="G12" s="173">
        <v>0</v>
      </c>
    </row>
    <row r="13" spans="1:16384" ht="18" customHeight="1">
      <c r="A13" s="159" t="s">
        <v>501</v>
      </c>
      <c r="B13" s="172">
        <v>2.39</v>
      </c>
      <c r="C13" s="173">
        <v>2.65</v>
      </c>
      <c r="D13" s="173">
        <v>2.2999999999999998</v>
      </c>
      <c r="E13" s="173">
        <v>1.74</v>
      </c>
      <c r="F13" s="173">
        <v>1.33</v>
      </c>
      <c r="G13" s="173">
        <v>1.21</v>
      </c>
    </row>
    <row r="14" spans="1:16384" ht="18" customHeight="1">
      <c r="A14" s="158"/>
      <c r="B14" s="161"/>
      <c r="C14" s="161"/>
      <c r="D14" s="161"/>
      <c r="E14" s="161"/>
      <c r="F14" s="161"/>
      <c r="G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2">
        <v>16</v>
      </c>
      <c r="F16" s="172">
        <v>270</v>
      </c>
      <c r="G16" s="172">
        <v>305</v>
      </c>
    </row>
    <row r="17" spans="1:8" ht="18" customHeight="1">
      <c r="A17" s="159" t="s">
        <v>476</v>
      </c>
      <c r="B17" s="172">
        <v>27</v>
      </c>
      <c r="C17" s="172">
        <v>20</v>
      </c>
      <c r="D17" s="172">
        <v>31</v>
      </c>
      <c r="E17" s="172">
        <v>95</v>
      </c>
      <c r="F17" s="172">
        <v>100</v>
      </c>
      <c r="G17" s="172">
        <v>101</v>
      </c>
    </row>
    <row r="18" spans="1:8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</row>
    <row r="19" spans="1:8" ht="18" customHeight="1">
      <c r="A19" s="163" t="s">
        <v>493</v>
      </c>
      <c r="B19" s="172">
        <v>9.4600000000000009</v>
      </c>
      <c r="C19" s="172">
        <v>15.38</v>
      </c>
      <c r="D19" s="172">
        <v>18.2</v>
      </c>
      <c r="E19" s="172">
        <v>28.6</v>
      </c>
      <c r="F19" s="172">
        <v>84.62</v>
      </c>
      <c r="G19" s="172">
        <v>100</v>
      </c>
    </row>
    <row r="20" spans="1:8" ht="18" customHeight="1">
      <c r="A20" s="158"/>
      <c r="B20" s="161"/>
      <c r="C20" s="161"/>
      <c r="D20" s="161"/>
      <c r="E20" s="161"/>
      <c r="F20" s="161"/>
      <c r="G20" s="161"/>
    </row>
    <row r="21" spans="1:8" ht="18" customHeight="1">
      <c r="A21" s="164" t="s">
        <v>477</v>
      </c>
      <c r="B21" s="164"/>
      <c r="C21" s="164"/>
      <c r="D21" s="164"/>
      <c r="E21" s="164"/>
      <c r="F21" s="164"/>
      <c r="G21" s="164"/>
      <c r="H21" s="171"/>
    </row>
    <row r="22" spans="1:8" ht="18" customHeight="1">
      <c r="A22" s="163" t="s">
        <v>514</v>
      </c>
      <c r="B22" s="175">
        <v>26245.782384060003</v>
      </c>
      <c r="C22" s="175">
        <v>29005.740237000002</v>
      </c>
      <c r="D22" s="175">
        <v>33355.137697140301</v>
      </c>
      <c r="E22" s="175">
        <v>37296.507398712994</v>
      </c>
      <c r="F22" s="175">
        <v>39947.103309199993</v>
      </c>
      <c r="G22" s="175">
        <v>40030</v>
      </c>
      <c r="H22" s="171"/>
    </row>
    <row r="23" spans="1:8" ht="18" customHeight="1">
      <c r="A23" s="163" t="s">
        <v>513</v>
      </c>
      <c r="B23" s="175">
        <v>1578.3664540599998</v>
      </c>
      <c r="C23" s="175">
        <v>1610.790137</v>
      </c>
      <c r="D23" s="175">
        <v>1804.7337371403</v>
      </c>
      <c r="E23" s="175">
        <v>1971.7989987129999</v>
      </c>
      <c r="F23" s="175">
        <v>1912.4449492000001</v>
      </c>
      <c r="G23" s="175">
        <v>1671</v>
      </c>
    </row>
    <row r="24" spans="1:8" ht="18" customHeight="1">
      <c r="A24" s="163" t="s">
        <v>511</v>
      </c>
      <c r="B24" s="175">
        <v>24482.720000000001</v>
      </c>
      <c r="C24" s="175">
        <v>27189.424000000003</v>
      </c>
      <c r="D24" s="175">
        <v>31210.800000000003</v>
      </c>
      <c r="E24" s="175">
        <v>34863.365999999995</v>
      </c>
      <c r="F24" s="175">
        <v>37586.859999999993</v>
      </c>
      <c r="G24" s="175">
        <v>38010</v>
      </c>
    </row>
    <row r="25" spans="1:8" ht="18" customHeight="1">
      <c r="A25" s="163" t="s">
        <v>512</v>
      </c>
      <c r="B25" s="175">
        <v>184.69593</v>
      </c>
      <c r="C25" s="175">
        <v>205.52609999999999</v>
      </c>
      <c r="D25" s="175">
        <v>339.60396000000003</v>
      </c>
      <c r="E25" s="175">
        <v>461.3424</v>
      </c>
      <c r="F25" s="175">
        <v>447.79836</v>
      </c>
      <c r="G25" s="175">
        <v>349</v>
      </c>
    </row>
    <row r="26" spans="1:8" ht="18" customHeight="1">
      <c r="A26" s="163" t="s">
        <v>492</v>
      </c>
      <c r="B26" s="175">
        <v>40.9</v>
      </c>
      <c r="C26" s="175">
        <v>45</v>
      </c>
      <c r="D26" s="175">
        <v>51.7</v>
      </c>
      <c r="E26" s="175">
        <v>56.7</v>
      </c>
      <c r="F26" s="175">
        <v>62</v>
      </c>
      <c r="G26" s="175">
        <v>62</v>
      </c>
    </row>
    <row r="27" spans="1:8" ht="18" customHeight="1">
      <c r="A27" s="170" t="s">
        <v>505</v>
      </c>
      <c r="B27" s="178">
        <v>0.46</v>
      </c>
      <c r="C27" s="178">
        <v>0.5</v>
      </c>
      <c r="D27" s="178">
        <v>0.69</v>
      </c>
      <c r="E27" s="178">
        <v>0.72</v>
      </c>
      <c r="F27" s="178">
        <v>0.8</v>
      </c>
      <c r="G27" s="178">
        <v>0.9</v>
      </c>
    </row>
    <row r="28" spans="1:8" ht="18" customHeight="1">
      <c r="A28" s="166"/>
      <c r="B28" s="161"/>
      <c r="C28" s="161"/>
      <c r="D28" s="161"/>
      <c r="E28" s="161"/>
      <c r="F28" s="161"/>
      <c r="G28" s="161"/>
    </row>
    <row r="29" spans="1:8" ht="18" customHeight="1">
      <c r="A29" s="164" t="s">
        <v>479</v>
      </c>
      <c r="B29" s="164"/>
      <c r="C29" s="164"/>
      <c r="D29" s="164"/>
      <c r="E29" s="164"/>
      <c r="F29" s="164"/>
      <c r="G29" s="164"/>
    </row>
    <row r="30" spans="1:8" ht="18" customHeight="1">
      <c r="A30" s="163" t="s">
        <v>504</v>
      </c>
      <c r="B30" s="175">
        <v>0</v>
      </c>
      <c r="C30" s="175">
        <v>142</v>
      </c>
      <c r="D30" s="175">
        <v>0</v>
      </c>
      <c r="E30" s="175">
        <v>5078</v>
      </c>
      <c r="F30" s="175">
        <v>782</v>
      </c>
      <c r="G30" s="175">
        <v>1591</v>
      </c>
    </row>
    <row r="31" spans="1:8" ht="18" customHeight="1">
      <c r="A31" s="163" t="s">
        <v>502</v>
      </c>
      <c r="B31" s="175">
        <v>17131</v>
      </c>
      <c r="C31" s="175">
        <v>16871</v>
      </c>
      <c r="D31" s="175">
        <v>18191</v>
      </c>
      <c r="E31" s="175">
        <v>23986</v>
      </c>
      <c r="F31" s="175">
        <v>18939</v>
      </c>
      <c r="G31" s="175">
        <v>23959</v>
      </c>
    </row>
    <row r="32" spans="1:8" ht="18" customHeight="1">
      <c r="A32" s="163" t="s">
        <v>480</v>
      </c>
      <c r="B32" s="175">
        <v>76</v>
      </c>
      <c r="C32" s="175">
        <v>99</v>
      </c>
      <c r="D32" s="175">
        <v>115</v>
      </c>
      <c r="E32" s="175">
        <v>47</v>
      </c>
      <c r="F32" s="175">
        <v>50</v>
      </c>
      <c r="G32" s="175">
        <v>62</v>
      </c>
    </row>
    <row r="33" spans="1:7" ht="18" customHeight="1">
      <c r="A33" s="163" t="s">
        <v>481</v>
      </c>
      <c r="B33" s="175">
        <v>70.8</v>
      </c>
      <c r="C33" s="175">
        <v>74.5</v>
      </c>
      <c r="D33" s="175">
        <v>78.2</v>
      </c>
      <c r="E33" s="175">
        <v>63.5</v>
      </c>
      <c r="F33" s="175">
        <v>66</v>
      </c>
      <c r="G33" s="175">
        <v>43</v>
      </c>
    </row>
    <row r="34" spans="1:7" ht="18" customHeight="1">
      <c r="A34" s="163" t="s">
        <v>491</v>
      </c>
      <c r="B34" s="175">
        <v>181</v>
      </c>
      <c r="C34" s="175">
        <v>22</v>
      </c>
      <c r="D34" s="175">
        <v>17</v>
      </c>
      <c r="E34" s="175">
        <v>33</v>
      </c>
      <c r="F34" s="175">
        <v>10</v>
      </c>
      <c r="G34" s="175">
        <v>17</v>
      </c>
    </row>
    <row r="35" spans="1:7" ht="21.75" customHeight="1">
      <c r="A35" s="163" t="s">
        <v>482</v>
      </c>
      <c r="B35" s="175">
        <v>100</v>
      </c>
      <c r="C35" s="175">
        <v>100</v>
      </c>
      <c r="D35" s="175">
        <v>100</v>
      </c>
      <c r="E35" s="175">
        <v>100</v>
      </c>
      <c r="F35" s="175">
        <v>100</v>
      </c>
      <c r="G35" s="175">
        <v>100</v>
      </c>
    </row>
    <row r="36" spans="1:7" ht="28.5" customHeight="1">
      <c r="A36" s="148" t="s">
        <v>413</v>
      </c>
    </row>
  </sheetData>
  <pageMargins left="0.24" right="0.24" top="0.984251969" bottom="0.984251969" header="0.5" footer="0.5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62"/>
  <sheetViews>
    <sheetView showGridLines="0" zoomScale="115" zoomScaleNormal="115" workbookViewId="0">
      <pane xSplit="2" ySplit="4" topLeftCell="E5" activePane="bottomRight" state="frozen"/>
      <selection activeCell="C117" sqref="C117"/>
      <selection pane="topRight" activeCell="C117" sqref="C117"/>
      <selection pane="bottomLeft" activeCell="C117" sqref="C117"/>
      <selection pane="bottomRight" activeCell="F42" sqref="F42"/>
    </sheetView>
  </sheetViews>
  <sheetFormatPr defaultColWidth="10.81640625" defaultRowHeight="10"/>
  <cols>
    <col min="1" max="1" width="47.7265625" style="113" customWidth="1"/>
    <col min="2" max="2" width="43.453125" style="113" customWidth="1"/>
    <col min="3" max="3" width="13.1796875" style="113" customWidth="1"/>
    <col min="4" max="10" width="14" style="113" customWidth="1"/>
    <col min="11" max="11" width="15.453125" style="113" customWidth="1"/>
    <col min="12" max="12" width="14.81640625" style="113" customWidth="1"/>
    <col min="13" max="13" width="16.453125" style="113" customWidth="1"/>
    <col min="14" max="16384" width="10.81640625" style="113"/>
  </cols>
  <sheetData>
    <row r="1" spans="1:17" ht="10.5" thickBot="1">
      <c r="A1" s="112" t="s">
        <v>429</v>
      </c>
      <c r="B1" s="112"/>
      <c r="C1" s="112" t="s">
        <v>430</v>
      </c>
      <c r="D1" s="112" t="s">
        <v>431</v>
      </c>
      <c r="E1" s="112" t="s">
        <v>432</v>
      </c>
      <c r="F1" s="112" t="s">
        <v>433</v>
      </c>
      <c r="G1" s="112" t="s">
        <v>434</v>
      </c>
      <c r="H1" s="112" t="s">
        <v>435</v>
      </c>
      <c r="I1" s="112" t="s">
        <v>436</v>
      </c>
      <c r="J1" s="112" t="s">
        <v>437</v>
      </c>
      <c r="K1" s="112" t="s">
        <v>438</v>
      </c>
    </row>
    <row r="2" spans="1:17" ht="11" thickTop="1">
      <c r="A2" s="112"/>
      <c r="B2" s="112"/>
      <c r="C2" s="114" t="s">
        <v>95</v>
      </c>
      <c r="D2" s="114" t="s">
        <v>95</v>
      </c>
      <c r="E2" s="114" t="s">
        <v>95</v>
      </c>
      <c r="F2" s="114" t="s">
        <v>95</v>
      </c>
      <c r="G2" s="114" t="s">
        <v>95</v>
      </c>
      <c r="H2" s="114" t="s">
        <v>95</v>
      </c>
      <c r="I2" s="114" t="s">
        <v>95</v>
      </c>
      <c r="J2" s="114" t="s">
        <v>95</v>
      </c>
      <c r="K2" s="114" t="s">
        <v>95</v>
      </c>
      <c r="L2" s="115" t="s">
        <v>439</v>
      </c>
      <c r="M2" s="112"/>
    </row>
    <row r="3" spans="1:17" ht="10.5">
      <c r="A3" s="112"/>
      <c r="B3" s="112"/>
      <c r="C3" s="116" t="s">
        <v>440</v>
      </c>
      <c r="D3" s="116" t="s">
        <v>441</v>
      </c>
      <c r="E3" s="116" t="s">
        <v>442</v>
      </c>
      <c r="F3" s="116" t="s">
        <v>443</v>
      </c>
      <c r="G3" s="116" t="s">
        <v>444</v>
      </c>
      <c r="H3" s="116" t="s">
        <v>445</v>
      </c>
      <c r="I3" s="116" t="s">
        <v>446</v>
      </c>
      <c r="J3" s="116" t="s">
        <v>447</v>
      </c>
      <c r="K3" s="116" t="s">
        <v>448</v>
      </c>
      <c r="L3" s="117" t="s">
        <v>449</v>
      </c>
      <c r="M3" s="112"/>
    </row>
    <row r="4" spans="1:17" s="123" customFormat="1" ht="18">
      <c r="A4" s="118"/>
      <c r="B4" s="119" t="s">
        <v>450</v>
      </c>
      <c r="C4" s="120" t="s">
        <v>394</v>
      </c>
      <c r="D4" s="120" t="s">
        <v>394</v>
      </c>
      <c r="E4" s="120" t="s">
        <v>394</v>
      </c>
      <c r="F4" s="120" t="s">
        <v>394</v>
      </c>
      <c r="G4" s="120" t="s">
        <v>394</v>
      </c>
      <c r="H4" s="120" t="s">
        <v>394</v>
      </c>
      <c r="I4" s="120" t="s">
        <v>394</v>
      </c>
      <c r="J4" s="120" t="s">
        <v>394</v>
      </c>
      <c r="K4" s="120" t="s">
        <v>394</v>
      </c>
      <c r="L4" s="121" t="s">
        <v>394</v>
      </c>
      <c r="M4" s="122" t="s">
        <v>451</v>
      </c>
    </row>
    <row r="5" spans="1:17" s="123" customFormat="1" ht="10.5">
      <c r="A5" s="118"/>
      <c r="B5" s="124"/>
      <c r="C5" s="124"/>
      <c r="D5" s="124"/>
      <c r="E5" s="124"/>
      <c r="F5" s="124"/>
      <c r="G5" s="124"/>
      <c r="H5" s="124"/>
      <c r="I5" s="124"/>
      <c r="J5" s="124"/>
      <c r="K5" s="125"/>
      <c r="L5" s="126"/>
      <c r="M5" s="118"/>
    </row>
    <row r="6" spans="1:17" s="123" customFormat="1" ht="10.5">
      <c r="A6" s="118"/>
      <c r="B6" s="124" t="s">
        <v>452</v>
      </c>
      <c r="C6" s="124"/>
      <c r="D6" s="124"/>
      <c r="E6" s="124"/>
      <c r="F6" s="124"/>
      <c r="G6" s="124"/>
      <c r="H6" s="124"/>
      <c r="I6" s="124"/>
      <c r="J6" s="124"/>
      <c r="K6" s="125"/>
      <c r="L6" s="126"/>
      <c r="M6" s="118"/>
    </row>
    <row r="7" spans="1:17" s="129" customFormat="1" ht="12" customHeight="1">
      <c r="A7" s="127" t="s">
        <v>453</v>
      </c>
      <c r="B7" s="122" t="s">
        <v>454</v>
      </c>
      <c r="C7" s="122">
        <v>1439533</v>
      </c>
      <c r="D7" s="122">
        <v>699533</v>
      </c>
      <c r="E7" s="122">
        <v>699533</v>
      </c>
      <c r="F7" s="122">
        <v>791039</v>
      </c>
      <c r="G7" s="122">
        <v>0</v>
      </c>
      <c r="H7" s="122">
        <v>0</v>
      </c>
      <c r="I7" s="122">
        <v>909209.72</v>
      </c>
      <c r="J7" s="122">
        <v>1159792.1299999999</v>
      </c>
      <c r="K7" s="125">
        <v>0</v>
      </c>
      <c r="L7" s="126">
        <v>2069001.85</v>
      </c>
      <c r="M7" s="122" t="s">
        <v>455</v>
      </c>
      <c r="N7" s="128"/>
      <c r="O7" s="128"/>
      <c r="P7" s="128"/>
      <c r="Q7" s="128"/>
    </row>
    <row r="8" spans="1:17" s="129" customFormat="1" ht="12" customHeight="1">
      <c r="A8" s="130"/>
      <c r="B8" s="122" t="s">
        <v>456</v>
      </c>
      <c r="C8" s="122">
        <v>753700</v>
      </c>
      <c r="D8" s="122">
        <v>743961.79</v>
      </c>
      <c r="E8" s="122">
        <v>795087</v>
      </c>
      <c r="F8" s="122">
        <v>891806.5</v>
      </c>
      <c r="G8" s="122">
        <v>969342.5</v>
      </c>
      <c r="H8" s="122">
        <v>967530.5</v>
      </c>
      <c r="I8" s="122">
        <v>1019613.25</v>
      </c>
      <c r="J8" s="122">
        <v>1091125</v>
      </c>
      <c r="K8" s="125">
        <v>0</v>
      </c>
      <c r="L8" s="126">
        <v>4047611.25</v>
      </c>
      <c r="M8" s="122" t="s">
        <v>455</v>
      </c>
      <c r="N8" s="128"/>
      <c r="O8" s="128"/>
      <c r="P8" s="128"/>
      <c r="Q8" s="128"/>
    </row>
    <row r="9" spans="1:17" s="129" customFormat="1" ht="12" customHeight="1">
      <c r="A9" s="130"/>
      <c r="B9" s="122"/>
      <c r="C9" s="131">
        <f>SUM(C7:C8)</f>
        <v>2193233</v>
      </c>
      <c r="D9" s="131">
        <f t="shared" ref="D9:L9" si="0">SUM(D7:D8)</f>
        <v>1443494.79</v>
      </c>
      <c r="E9" s="131">
        <f t="shared" si="0"/>
        <v>1494620</v>
      </c>
      <c r="F9" s="131">
        <f t="shared" si="0"/>
        <v>1682845.5</v>
      </c>
      <c r="G9" s="131">
        <f t="shared" si="0"/>
        <v>969342.5</v>
      </c>
      <c r="H9" s="131">
        <f t="shared" si="0"/>
        <v>967530.5</v>
      </c>
      <c r="I9" s="131">
        <f t="shared" si="0"/>
        <v>1928822.97</v>
      </c>
      <c r="J9" s="131">
        <f t="shared" si="0"/>
        <v>2250917.13</v>
      </c>
      <c r="K9" s="132">
        <f t="shared" si="0"/>
        <v>0</v>
      </c>
      <c r="L9" s="133">
        <f t="shared" si="0"/>
        <v>6116613.0999999996</v>
      </c>
      <c r="M9" s="122"/>
      <c r="N9" s="128"/>
      <c r="O9" s="128"/>
      <c r="P9" s="128"/>
      <c r="Q9" s="128"/>
    </row>
    <row r="10" spans="1:17" s="129" customFormat="1" ht="14.5" customHeight="1">
      <c r="A10" s="130"/>
      <c r="B10" s="112" t="s">
        <v>457</v>
      </c>
      <c r="C10" s="112" t="s">
        <v>458</v>
      </c>
      <c r="D10" s="112" t="s">
        <v>458</v>
      </c>
      <c r="E10" s="112" t="s">
        <v>458</v>
      </c>
      <c r="F10" s="112" t="s">
        <v>458</v>
      </c>
      <c r="G10" s="112" t="s">
        <v>458</v>
      </c>
      <c r="H10" s="112" t="s">
        <v>458</v>
      </c>
      <c r="I10" s="112" t="s">
        <v>458</v>
      </c>
      <c r="J10" s="112" t="s">
        <v>458</v>
      </c>
      <c r="K10" s="134">
        <v>66531301.7447</v>
      </c>
      <c r="L10" s="135" t="s">
        <v>458</v>
      </c>
      <c r="M10" s="136" t="s">
        <v>12</v>
      </c>
    </row>
    <row r="11" spans="1:17" ht="12.75" customHeight="1">
      <c r="A11" s="112"/>
      <c r="B11" s="112" t="s">
        <v>459</v>
      </c>
      <c r="C11" s="112">
        <v>104713482.9465</v>
      </c>
      <c r="D11" s="112">
        <v>124570636.7252</v>
      </c>
      <c r="E11" s="112">
        <v>125941959.98949996</v>
      </c>
      <c r="F11" s="112">
        <v>133013619.85730001</v>
      </c>
      <c r="G11" s="112">
        <v>127101495.83180001</v>
      </c>
      <c r="H11" s="112">
        <v>127147771.2049</v>
      </c>
      <c r="I11" s="112">
        <v>136201850.77450001</v>
      </c>
      <c r="J11" s="112">
        <v>146462324.94909999</v>
      </c>
      <c r="K11" s="137">
        <v>153068872.11559999</v>
      </c>
      <c r="L11" s="135">
        <v>536913442.76030004</v>
      </c>
      <c r="M11" s="136" t="s">
        <v>12</v>
      </c>
    </row>
    <row r="12" spans="1:17" s="141" customFormat="1" ht="10.5">
      <c r="A12" s="124"/>
      <c r="B12" s="138" t="s">
        <v>460</v>
      </c>
      <c r="C12" s="138">
        <f>SUM(C9:C11)</f>
        <v>106906715.9465</v>
      </c>
      <c r="D12" s="138">
        <f t="shared" ref="D12:L12" si="1">SUM(D9:D11)</f>
        <v>126014131.5152</v>
      </c>
      <c r="E12" s="138">
        <f t="shared" si="1"/>
        <v>127436579.98949996</v>
      </c>
      <c r="F12" s="138">
        <f t="shared" si="1"/>
        <v>134696465.35730001</v>
      </c>
      <c r="G12" s="138">
        <f t="shared" si="1"/>
        <v>128070838.33180001</v>
      </c>
      <c r="H12" s="138">
        <f t="shared" si="1"/>
        <v>128115301.7049</v>
      </c>
      <c r="I12" s="138">
        <f t="shared" si="1"/>
        <v>138130673.74450001</v>
      </c>
      <c r="J12" s="138">
        <f t="shared" si="1"/>
        <v>148713242.07909998</v>
      </c>
      <c r="K12" s="139">
        <f t="shared" si="1"/>
        <v>219600173.8603</v>
      </c>
      <c r="L12" s="139">
        <f t="shared" si="1"/>
        <v>543030055.86030006</v>
      </c>
      <c r="M12" s="140"/>
    </row>
    <row r="13" spans="1:17" s="145" customFormat="1" ht="10.5">
      <c r="A13" s="142"/>
      <c r="B13" s="142" t="s">
        <v>461</v>
      </c>
      <c r="C13" s="142"/>
      <c r="D13" s="142"/>
      <c r="E13" s="142"/>
      <c r="F13" s="142"/>
      <c r="G13" s="142"/>
      <c r="H13" s="142"/>
      <c r="I13" s="142"/>
      <c r="J13" s="142"/>
      <c r="K13" s="143"/>
      <c r="L13" s="143"/>
      <c r="M13" s="144"/>
    </row>
    <row r="14" spans="1:17" s="129" customFormat="1" ht="12" customHeight="1">
      <c r="A14" s="127" t="s">
        <v>462</v>
      </c>
      <c r="B14" s="122" t="s">
        <v>454</v>
      </c>
      <c r="C14" s="122" t="s">
        <v>458</v>
      </c>
      <c r="D14" s="122" t="s">
        <v>458</v>
      </c>
      <c r="E14" s="122" t="s">
        <v>458</v>
      </c>
      <c r="F14" s="122" t="s">
        <v>458</v>
      </c>
      <c r="G14" s="122" t="s">
        <v>458</v>
      </c>
      <c r="H14" s="122" t="s">
        <v>458</v>
      </c>
      <c r="I14" s="122" t="s">
        <v>458</v>
      </c>
      <c r="J14" s="122" t="s">
        <v>458</v>
      </c>
      <c r="K14" s="126" t="s">
        <v>458</v>
      </c>
      <c r="L14" s="126">
        <v>0</v>
      </c>
      <c r="M14" s="122" t="s">
        <v>455</v>
      </c>
      <c r="N14" s="128"/>
      <c r="O14" s="128"/>
      <c r="P14" s="128"/>
      <c r="Q14" s="128"/>
    </row>
    <row r="15" spans="1:17" s="129" customFormat="1" ht="12" customHeight="1">
      <c r="A15" s="130"/>
      <c r="B15" s="122" t="s">
        <v>456</v>
      </c>
      <c r="C15" s="122" t="s">
        <v>458</v>
      </c>
      <c r="D15" s="122" t="s">
        <v>458</v>
      </c>
      <c r="E15" s="122" t="s">
        <v>458</v>
      </c>
      <c r="F15" s="122" t="s">
        <v>458</v>
      </c>
      <c r="G15" s="122" t="s">
        <v>458</v>
      </c>
      <c r="H15" s="122" t="s">
        <v>458</v>
      </c>
      <c r="I15" s="122" t="s">
        <v>458</v>
      </c>
      <c r="J15" s="122" t="s">
        <v>458</v>
      </c>
      <c r="K15" s="126" t="s">
        <v>458</v>
      </c>
      <c r="L15" s="126" t="s">
        <v>458</v>
      </c>
      <c r="M15" s="122" t="s">
        <v>455</v>
      </c>
      <c r="N15" s="128"/>
      <c r="O15" s="128"/>
      <c r="P15" s="128"/>
      <c r="Q15" s="128"/>
    </row>
    <row r="16" spans="1:17" s="129" customFormat="1" ht="12" customHeight="1">
      <c r="A16" s="130"/>
      <c r="B16" s="122"/>
      <c r="C16" s="131">
        <f>SUM(C14:C15)</f>
        <v>0</v>
      </c>
      <c r="D16" s="131">
        <f t="shared" ref="D16:L16" si="2">SUM(D14:D15)</f>
        <v>0</v>
      </c>
      <c r="E16" s="131">
        <f t="shared" si="2"/>
        <v>0</v>
      </c>
      <c r="F16" s="131">
        <f t="shared" si="2"/>
        <v>0</v>
      </c>
      <c r="G16" s="131">
        <f t="shared" si="2"/>
        <v>0</v>
      </c>
      <c r="H16" s="131">
        <f t="shared" si="2"/>
        <v>0</v>
      </c>
      <c r="I16" s="131">
        <f t="shared" si="2"/>
        <v>0</v>
      </c>
      <c r="J16" s="131">
        <f t="shared" si="2"/>
        <v>0</v>
      </c>
      <c r="K16" s="132">
        <f t="shared" si="2"/>
        <v>0</v>
      </c>
      <c r="L16" s="133">
        <f t="shared" si="2"/>
        <v>0</v>
      </c>
      <c r="M16" s="122"/>
      <c r="N16" s="128"/>
      <c r="O16" s="128"/>
      <c r="P16" s="128"/>
      <c r="Q16" s="128"/>
    </row>
    <row r="17" spans="1:17" s="129" customFormat="1" ht="14.5" customHeight="1">
      <c r="A17" s="130"/>
      <c r="B17" s="112" t="s">
        <v>457</v>
      </c>
      <c r="C17" s="112" t="s">
        <v>458</v>
      </c>
      <c r="D17" s="112" t="s">
        <v>458</v>
      </c>
      <c r="E17" s="112" t="s">
        <v>458</v>
      </c>
      <c r="F17" s="112" t="s">
        <v>458</v>
      </c>
      <c r="G17" s="112" t="s">
        <v>458</v>
      </c>
      <c r="H17" s="112" t="s">
        <v>458</v>
      </c>
      <c r="I17" s="112" t="s">
        <v>458</v>
      </c>
      <c r="J17" s="112" t="s">
        <v>458</v>
      </c>
      <c r="K17" s="134">
        <v>-39720308.846799999</v>
      </c>
      <c r="L17" s="135" t="s">
        <v>458</v>
      </c>
      <c r="M17" s="136" t="s">
        <v>12</v>
      </c>
    </row>
    <row r="18" spans="1:17" s="129" customFormat="1" ht="12.75" customHeight="1">
      <c r="A18" s="130"/>
      <c r="B18" s="112" t="s">
        <v>459</v>
      </c>
      <c r="C18" s="112">
        <v>-23555635.8574</v>
      </c>
      <c r="D18" s="112">
        <v>-25912965.893600002</v>
      </c>
      <c r="E18" s="112">
        <v>-29484895.214700013</v>
      </c>
      <c r="F18" s="112">
        <v>-41286396.740699999</v>
      </c>
      <c r="G18" s="112">
        <v>-32672222.550399996</v>
      </c>
      <c r="H18" s="112">
        <v>-35161408.551100001</v>
      </c>
      <c r="I18" s="112">
        <v>-38077636.842599981</v>
      </c>
      <c r="J18" s="112">
        <v>-39337265.6351</v>
      </c>
      <c r="K18" s="137">
        <v>-43602400.771600001</v>
      </c>
      <c r="L18" s="135">
        <v>-145248533.57919997</v>
      </c>
      <c r="M18" s="136" t="s">
        <v>12</v>
      </c>
    </row>
    <row r="19" spans="1:17" s="141" customFormat="1" ht="10.5">
      <c r="A19" s="124"/>
      <c r="B19" s="138" t="s">
        <v>463</v>
      </c>
      <c r="C19" s="138">
        <f>SUM(C16:C18)</f>
        <v>-23555635.8574</v>
      </c>
      <c r="D19" s="138">
        <f t="shared" ref="D19:L19" si="3">SUM(D16:D18)</f>
        <v>-25912965.893600002</v>
      </c>
      <c r="E19" s="138">
        <f t="shared" si="3"/>
        <v>-29484895.214700013</v>
      </c>
      <c r="F19" s="138">
        <f t="shared" si="3"/>
        <v>-41286396.740699999</v>
      </c>
      <c r="G19" s="138">
        <f t="shared" si="3"/>
        <v>-32672222.550399996</v>
      </c>
      <c r="H19" s="138">
        <f t="shared" si="3"/>
        <v>-35161408.551100001</v>
      </c>
      <c r="I19" s="138">
        <f t="shared" si="3"/>
        <v>-38077636.842599981</v>
      </c>
      <c r="J19" s="138">
        <f t="shared" si="3"/>
        <v>-39337265.6351</v>
      </c>
      <c r="K19" s="139">
        <f t="shared" si="3"/>
        <v>-83322709.618400007</v>
      </c>
      <c r="L19" s="139">
        <f t="shared" si="3"/>
        <v>-145248533.57919997</v>
      </c>
      <c r="M19" s="140"/>
    </row>
    <row r="20" spans="1:17" ht="12.75" customHeight="1">
      <c r="A20" s="112"/>
      <c r="B20" s="140" t="s">
        <v>464</v>
      </c>
      <c r="C20" s="140"/>
      <c r="D20" s="140"/>
      <c r="E20" s="140"/>
      <c r="F20" s="140"/>
      <c r="G20" s="140"/>
      <c r="H20" s="140"/>
      <c r="I20" s="140"/>
      <c r="J20" s="140"/>
      <c r="K20" s="134"/>
      <c r="L20" s="135"/>
    </row>
    <row r="21" spans="1:17" s="129" customFormat="1" ht="12" customHeight="1">
      <c r="A21" s="127" t="s">
        <v>465</v>
      </c>
      <c r="B21" s="122" t="s">
        <v>454</v>
      </c>
      <c r="C21" s="122">
        <v>-5587902.5399999991</v>
      </c>
      <c r="D21" s="122">
        <v>-4162627.3499999996</v>
      </c>
      <c r="E21" s="122">
        <v>4624322.6199999992</v>
      </c>
      <c r="F21" s="122">
        <v>-4187708.29</v>
      </c>
      <c r="G21" s="122">
        <v>-4286841.4699999988</v>
      </c>
      <c r="H21" s="122">
        <v>-14473010.219999999</v>
      </c>
      <c r="I21" s="122">
        <v>-33033888.909999996</v>
      </c>
      <c r="J21" s="122">
        <v>-48809664.549999997</v>
      </c>
      <c r="K21" s="125">
        <v>-38100376.420000002</v>
      </c>
      <c r="L21" s="126">
        <v>-100603405.15000001</v>
      </c>
      <c r="M21" s="122" t="s">
        <v>455</v>
      </c>
      <c r="N21" s="128"/>
      <c r="O21" s="128"/>
      <c r="P21" s="128"/>
      <c r="Q21" s="128"/>
    </row>
    <row r="22" spans="1:17" s="129" customFormat="1" ht="12" customHeight="1">
      <c r="A22" s="130"/>
      <c r="B22" s="122" t="s">
        <v>456</v>
      </c>
      <c r="C22" s="122">
        <v>-2621850.0299999998</v>
      </c>
      <c r="D22" s="122">
        <v>-302482.05000000075</v>
      </c>
      <c r="E22" s="122">
        <v>-3291737.6800000006</v>
      </c>
      <c r="F22" s="122">
        <v>-5212405.75</v>
      </c>
      <c r="G22" s="122">
        <v>-2163291.1900000004</v>
      </c>
      <c r="H22" s="122">
        <v>-5382634.25</v>
      </c>
      <c r="I22" s="122">
        <v>-3537114.28</v>
      </c>
      <c r="J22" s="122">
        <v>-4299261.12</v>
      </c>
      <c r="K22" s="125">
        <v>-1820012.6099999992</v>
      </c>
      <c r="L22" s="126">
        <v>-15382300.84</v>
      </c>
      <c r="M22" s="122" t="s">
        <v>455</v>
      </c>
      <c r="N22" s="128"/>
      <c r="O22" s="128"/>
      <c r="P22" s="128"/>
      <c r="Q22" s="128"/>
    </row>
    <row r="23" spans="1:17" s="129" customFormat="1" ht="12" customHeight="1">
      <c r="A23" s="130"/>
      <c r="B23" s="122"/>
      <c r="C23" s="131">
        <f>SUM(C21:C22)</f>
        <v>-8209752.5699999984</v>
      </c>
      <c r="D23" s="131">
        <f t="shared" ref="D23:L23" si="4">SUM(D21:D22)</f>
        <v>-4465109.4000000004</v>
      </c>
      <c r="E23" s="131">
        <f t="shared" si="4"/>
        <v>1332584.9399999985</v>
      </c>
      <c r="F23" s="131">
        <f t="shared" si="4"/>
        <v>-9400114.0399999991</v>
      </c>
      <c r="G23" s="131">
        <f t="shared" si="4"/>
        <v>-6450132.6599999992</v>
      </c>
      <c r="H23" s="131">
        <f t="shared" si="4"/>
        <v>-19855644.469999999</v>
      </c>
      <c r="I23" s="131">
        <f t="shared" si="4"/>
        <v>-36571003.189999998</v>
      </c>
      <c r="J23" s="131">
        <f t="shared" si="4"/>
        <v>-53108925.669999994</v>
      </c>
      <c r="K23" s="132">
        <f t="shared" si="4"/>
        <v>-39920389.030000001</v>
      </c>
      <c r="L23" s="133">
        <f t="shared" si="4"/>
        <v>-115985705.99000001</v>
      </c>
      <c r="M23" s="122"/>
      <c r="N23" s="128"/>
      <c r="O23" s="128"/>
      <c r="P23" s="128"/>
      <c r="Q23" s="128"/>
    </row>
    <row r="24" spans="1:17" s="129" customFormat="1" ht="14.5" customHeight="1">
      <c r="A24" s="130"/>
      <c r="B24" s="112" t="s">
        <v>457</v>
      </c>
      <c r="C24" s="112" t="s">
        <v>458</v>
      </c>
      <c r="D24" s="112" t="s">
        <v>458</v>
      </c>
      <c r="E24" s="112" t="s">
        <v>458</v>
      </c>
      <c r="F24" s="112" t="s">
        <v>458</v>
      </c>
      <c r="G24" s="112" t="s">
        <v>458</v>
      </c>
      <c r="H24" s="112" t="s">
        <v>458</v>
      </c>
      <c r="I24" s="112" t="s">
        <v>458</v>
      </c>
      <c r="J24" s="112" t="s">
        <v>458</v>
      </c>
      <c r="K24" s="134">
        <v>-41210799.508500002</v>
      </c>
      <c r="L24" s="135" t="s">
        <v>458</v>
      </c>
      <c r="M24" s="136" t="s">
        <v>12</v>
      </c>
    </row>
    <row r="25" spans="1:17" s="129" customFormat="1" ht="15" customHeight="1">
      <c r="A25" s="130"/>
      <c r="B25" s="112" t="s">
        <v>459</v>
      </c>
      <c r="C25" s="112">
        <v>-29673854.426199999</v>
      </c>
      <c r="D25" s="112">
        <v>-30819410.121300001</v>
      </c>
      <c r="E25" s="112">
        <v>-27238053.075499993</v>
      </c>
      <c r="F25" s="112">
        <v>-28343656.942000002</v>
      </c>
      <c r="G25" s="112">
        <v>-36151402.486900002</v>
      </c>
      <c r="H25" s="112">
        <v>-37379842.432300001</v>
      </c>
      <c r="I25" s="112">
        <v>-37779893.292999998</v>
      </c>
      <c r="J25" s="112">
        <v>-42293791.958099999</v>
      </c>
      <c r="K25" s="137">
        <v>-44156727.637699999</v>
      </c>
      <c r="L25" s="135">
        <v>-153604930.17029998</v>
      </c>
      <c r="M25" s="136" t="s">
        <v>12</v>
      </c>
    </row>
    <row r="26" spans="1:17" s="141" customFormat="1" ht="10.5">
      <c r="A26" s="124"/>
      <c r="B26" s="138" t="s">
        <v>466</v>
      </c>
      <c r="C26" s="138">
        <f>SUM(C23:C25)</f>
        <v>-37883606.996199995</v>
      </c>
      <c r="D26" s="138">
        <f t="shared" ref="D26:L26" si="5">SUM(D23:D25)</f>
        <v>-35284519.521300003</v>
      </c>
      <c r="E26" s="138">
        <f t="shared" si="5"/>
        <v>-25905468.135499995</v>
      </c>
      <c r="F26" s="138">
        <f t="shared" si="5"/>
        <v>-37743770.982000001</v>
      </c>
      <c r="G26" s="138">
        <f t="shared" si="5"/>
        <v>-42601535.146899998</v>
      </c>
      <c r="H26" s="138">
        <f t="shared" si="5"/>
        <v>-57235486.9023</v>
      </c>
      <c r="I26" s="138">
        <f t="shared" si="5"/>
        <v>-74350896.482999995</v>
      </c>
      <c r="J26" s="138">
        <f t="shared" si="5"/>
        <v>-95402717.628099993</v>
      </c>
      <c r="K26" s="139">
        <f t="shared" si="5"/>
        <v>-125287916.1762</v>
      </c>
      <c r="L26" s="139">
        <f t="shared" si="5"/>
        <v>-269590636.16030002</v>
      </c>
      <c r="M26" s="140"/>
    </row>
    <row r="27" spans="1:17" s="145" customFormat="1" ht="10.5">
      <c r="A27" s="142"/>
      <c r="B27" s="142" t="s">
        <v>467</v>
      </c>
      <c r="C27" s="142"/>
      <c r="D27" s="142"/>
      <c r="E27" s="142"/>
      <c r="F27" s="142"/>
      <c r="G27" s="142"/>
      <c r="H27" s="142"/>
      <c r="I27" s="142"/>
      <c r="J27" s="142"/>
      <c r="K27" s="143"/>
      <c r="L27" s="143"/>
      <c r="M27" s="144"/>
    </row>
    <row r="28" spans="1:17" s="129" customFormat="1" ht="12" customHeight="1">
      <c r="A28" s="146" t="s">
        <v>468</v>
      </c>
      <c r="B28" s="122" t="s">
        <v>454</v>
      </c>
      <c r="C28" s="122">
        <v>-4148369.5399999991</v>
      </c>
      <c r="D28" s="122">
        <v>-3463094.3499999996</v>
      </c>
      <c r="E28" s="122">
        <v>5323855.6199999992</v>
      </c>
      <c r="F28" s="122">
        <v>-3396669.29</v>
      </c>
      <c r="G28" s="122">
        <v>-4286841.4699999988</v>
      </c>
      <c r="H28" s="122">
        <v>-14473010.219999999</v>
      </c>
      <c r="I28" s="122">
        <v>-32124679.189999998</v>
      </c>
      <c r="J28" s="122">
        <v>-47649872.420000002</v>
      </c>
      <c r="K28" s="125">
        <v>-38100376.420000002</v>
      </c>
      <c r="L28" s="126">
        <v>-98534403.299999997</v>
      </c>
      <c r="M28" s="122" t="s">
        <v>455</v>
      </c>
      <c r="N28" s="128"/>
      <c r="O28" s="128"/>
      <c r="P28" s="128"/>
      <c r="Q28" s="128"/>
    </row>
    <row r="29" spans="1:17" s="129" customFormat="1" ht="12" customHeight="1">
      <c r="A29" s="130"/>
      <c r="B29" s="122" t="s">
        <v>456</v>
      </c>
      <c r="C29" s="122">
        <v>-1868150.0299999998</v>
      </c>
      <c r="D29" s="122">
        <v>441479.73999999953</v>
      </c>
      <c r="E29" s="122">
        <v>-2496650.6800000006</v>
      </c>
      <c r="F29" s="122">
        <v>-4320599.25</v>
      </c>
      <c r="G29" s="122">
        <v>-1193948.6900000004</v>
      </c>
      <c r="H29" s="122">
        <v>-4415103.75</v>
      </c>
      <c r="I29" s="122">
        <v>-2517501.0299999998</v>
      </c>
      <c r="J29" s="122">
        <v>-3208136.12</v>
      </c>
      <c r="K29" s="125">
        <v>-1820012.6099999992</v>
      </c>
      <c r="L29" s="126">
        <v>-11334689.59</v>
      </c>
      <c r="M29" s="122" t="s">
        <v>455</v>
      </c>
      <c r="N29" s="128"/>
      <c r="O29" s="128"/>
      <c r="P29" s="128"/>
      <c r="Q29" s="128"/>
    </row>
    <row r="30" spans="1:17" s="129" customFormat="1" ht="12" customHeight="1">
      <c r="A30" s="130"/>
      <c r="B30" s="122"/>
      <c r="C30" s="131">
        <f>SUM(C28:C29)</f>
        <v>-6016519.5699999984</v>
      </c>
      <c r="D30" s="131">
        <f t="shared" ref="D30:L30" si="6">SUM(D28:D29)</f>
        <v>-3021614.6100000003</v>
      </c>
      <c r="E30" s="131">
        <f t="shared" si="6"/>
        <v>2827204.9399999985</v>
      </c>
      <c r="F30" s="131">
        <f t="shared" si="6"/>
        <v>-7717268.54</v>
      </c>
      <c r="G30" s="131">
        <f t="shared" si="6"/>
        <v>-5480790.1599999992</v>
      </c>
      <c r="H30" s="131">
        <f t="shared" si="6"/>
        <v>-18888113.969999999</v>
      </c>
      <c r="I30" s="131">
        <f t="shared" si="6"/>
        <v>-34642180.219999999</v>
      </c>
      <c r="J30" s="131">
        <f t="shared" si="6"/>
        <v>-50858008.539999999</v>
      </c>
      <c r="K30" s="132">
        <f t="shared" si="6"/>
        <v>-39920389.030000001</v>
      </c>
      <c r="L30" s="133">
        <f t="shared" si="6"/>
        <v>-109869092.89</v>
      </c>
      <c r="M30" s="122"/>
      <c r="N30" s="128"/>
      <c r="O30" s="128"/>
      <c r="P30" s="128"/>
      <c r="Q30" s="128"/>
    </row>
    <row r="31" spans="1:17" s="129" customFormat="1" ht="14.5" customHeight="1">
      <c r="A31" s="130"/>
      <c r="B31" s="112" t="s">
        <v>457</v>
      </c>
      <c r="C31" s="112" t="s">
        <v>458</v>
      </c>
      <c r="D31" s="112" t="s">
        <v>458</v>
      </c>
      <c r="E31" s="112" t="s">
        <v>458</v>
      </c>
      <c r="F31" s="112" t="s">
        <v>458</v>
      </c>
      <c r="G31" s="112" t="s">
        <v>458</v>
      </c>
      <c r="H31" s="112" t="s">
        <v>458</v>
      </c>
      <c r="I31" s="112" t="s">
        <v>458</v>
      </c>
      <c r="J31" s="112" t="s">
        <v>458</v>
      </c>
      <c r="K31" s="134">
        <v>-14399806.610600004</v>
      </c>
      <c r="L31" s="135" t="s">
        <v>458</v>
      </c>
      <c r="M31" s="136" t="s">
        <v>12</v>
      </c>
    </row>
    <row r="32" spans="1:17" s="129" customFormat="1" ht="14.25" customHeight="1">
      <c r="A32" s="130"/>
      <c r="B32" s="112" t="s">
        <v>459</v>
      </c>
      <c r="C32" s="112">
        <v>51483992.662899986</v>
      </c>
      <c r="D32" s="112">
        <v>67838260.710299999</v>
      </c>
      <c r="E32" s="112">
        <v>69219011.699299961</v>
      </c>
      <c r="F32" s="112">
        <v>63383566.174600013</v>
      </c>
      <c r="G32" s="112">
        <v>58277870.794500008</v>
      </c>
      <c r="H32" s="112">
        <v>54606520.221500002</v>
      </c>
      <c r="I32" s="112">
        <v>60344320.638900042</v>
      </c>
      <c r="J32" s="112">
        <v>64831267.355899997</v>
      </c>
      <c r="K32" s="137">
        <v>65309743.706299976</v>
      </c>
      <c r="L32" s="135">
        <v>238059979.01080006</v>
      </c>
      <c r="M32" s="136" t="s">
        <v>12</v>
      </c>
    </row>
    <row r="33" spans="1:13" s="141" customFormat="1" ht="10.5">
      <c r="A33" s="124"/>
      <c r="B33" s="138" t="s">
        <v>469</v>
      </c>
      <c r="C33" s="138">
        <f>SUM(C30:C32)</f>
        <v>45467473.092899986</v>
      </c>
      <c r="D33" s="138">
        <f t="shared" ref="D33:L33" si="7">SUM(D30:D32)</f>
        <v>64816646.100299999</v>
      </c>
      <c r="E33" s="138">
        <f t="shared" si="7"/>
        <v>72046216.639299959</v>
      </c>
      <c r="F33" s="138">
        <f t="shared" si="7"/>
        <v>55666297.634600013</v>
      </c>
      <c r="G33" s="138">
        <f t="shared" si="7"/>
        <v>52797080.634500012</v>
      </c>
      <c r="H33" s="138">
        <f t="shared" si="7"/>
        <v>35718406.251500003</v>
      </c>
      <c r="I33" s="138">
        <f t="shared" si="7"/>
        <v>25702140.418900043</v>
      </c>
      <c r="J33" s="138">
        <f t="shared" si="7"/>
        <v>13973258.815899998</v>
      </c>
      <c r="K33" s="139">
        <f t="shared" si="7"/>
        <v>10989548.065699972</v>
      </c>
      <c r="L33" s="139">
        <f t="shared" si="7"/>
        <v>128190886.12080006</v>
      </c>
      <c r="M33" s="140"/>
    </row>
    <row r="34" spans="1:13">
      <c r="B34" s="112"/>
      <c r="C34" s="112"/>
      <c r="D34" s="112"/>
      <c r="E34" s="112"/>
      <c r="F34" s="112"/>
      <c r="G34" s="112"/>
      <c r="H34" s="112"/>
      <c r="I34" s="112"/>
      <c r="J34" s="112"/>
    </row>
    <row r="37" spans="1:13">
      <c r="A37" s="112"/>
      <c r="B37" s="147" t="s">
        <v>472</v>
      </c>
      <c r="C37" s="112"/>
      <c r="D37" s="112"/>
      <c r="E37" s="112"/>
      <c r="F37" s="112"/>
      <c r="G37" s="112"/>
      <c r="H37" s="112"/>
      <c r="I37" s="112"/>
      <c r="J37" s="112"/>
    </row>
    <row r="38" spans="1:13">
      <c r="B38" s="112" t="s">
        <v>470</v>
      </c>
      <c r="C38" s="112">
        <f>C9/1000000</f>
        <v>2.1932330000000002</v>
      </c>
      <c r="D38" s="112">
        <f t="shared" ref="D38:K38" si="8">D9/1000000</f>
        <v>1.4434947900000001</v>
      </c>
      <c r="E38" s="112">
        <f t="shared" si="8"/>
        <v>1.4946200000000001</v>
      </c>
      <c r="F38" s="112">
        <f t="shared" si="8"/>
        <v>1.6828455</v>
      </c>
      <c r="G38" s="112">
        <f t="shared" si="8"/>
        <v>0.9693425</v>
      </c>
      <c r="H38" s="112">
        <f t="shared" si="8"/>
        <v>0.96753049999999996</v>
      </c>
      <c r="I38" s="112">
        <f t="shared" si="8"/>
        <v>1.9288229699999999</v>
      </c>
      <c r="J38" s="112">
        <f t="shared" si="8"/>
        <v>2.2509171299999999</v>
      </c>
      <c r="K38" s="112">
        <f t="shared" si="8"/>
        <v>0</v>
      </c>
      <c r="L38" s="112">
        <f>L9/1000000</f>
        <v>6.1166130999999995</v>
      </c>
      <c r="M38" s="113">
        <f>L38-SUM(G38:J38)</f>
        <v>0</v>
      </c>
    </row>
    <row r="39" spans="1:13">
      <c r="B39" s="112" t="s">
        <v>471</v>
      </c>
      <c r="C39" s="112">
        <f>C30/1000000</f>
        <v>-6.016519569999998</v>
      </c>
      <c r="D39" s="112">
        <f t="shared" ref="D39:K39" si="9">D30/1000000</f>
        <v>-3.0216146100000003</v>
      </c>
      <c r="E39" s="112">
        <f t="shared" si="9"/>
        <v>2.8272049399999983</v>
      </c>
      <c r="F39" s="112">
        <f t="shared" si="9"/>
        <v>-7.7172685400000001</v>
      </c>
      <c r="G39" s="112">
        <f t="shared" si="9"/>
        <v>-5.4807901599999989</v>
      </c>
      <c r="H39" s="112">
        <f t="shared" si="9"/>
        <v>-18.888113969999999</v>
      </c>
      <c r="I39" s="112">
        <f t="shared" si="9"/>
        <v>-34.64218022</v>
      </c>
      <c r="J39" s="112">
        <f t="shared" si="9"/>
        <v>-50.85800854</v>
      </c>
      <c r="K39" s="112">
        <f t="shared" si="9"/>
        <v>-39.920389030000003</v>
      </c>
      <c r="L39" s="112">
        <f>L30/1000000</f>
        <v>-109.86909289</v>
      </c>
      <c r="M39" s="113">
        <f>L39-SUM(G39:J39)</f>
        <v>0</v>
      </c>
    </row>
    <row r="40" spans="1:13">
      <c r="B40" s="112"/>
      <c r="C40" s="112"/>
      <c r="D40" s="112"/>
      <c r="E40" s="112"/>
      <c r="F40" s="112"/>
      <c r="G40" s="112"/>
      <c r="H40" s="112"/>
      <c r="I40" s="112"/>
      <c r="J40" s="112"/>
    </row>
    <row r="41" spans="1:13">
      <c r="B41" s="112"/>
      <c r="C41" s="112"/>
      <c r="D41" s="112"/>
      <c r="E41" s="112"/>
      <c r="F41" s="112"/>
      <c r="G41" s="112"/>
      <c r="H41" s="112"/>
      <c r="I41" s="112"/>
      <c r="J41" s="112"/>
    </row>
    <row r="42" spans="1:13"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3">
      <c r="B43" s="112"/>
      <c r="C43" s="112"/>
      <c r="D43" s="112"/>
      <c r="E43" s="112"/>
      <c r="F43" s="112"/>
      <c r="G43" s="112"/>
      <c r="H43" s="112"/>
      <c r="I43" s="112"/>
      <c r="J43" s="112"/>
    </row>
    <row r="44" spans="1:13"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3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1:13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1:13">
      <c r="B47" s="112"/>
      <c r="C47" s="112"/>
      <c r="D47" s="112"/>
      <c r="E47" s="112"/>
      <c r="F47" s="112"/>
      <c r="G47" s="112"/>
      <c r="H47" s="112"/>
      <c r="I47" s="112"/>
      <c r="J47" s="112"/>
    </row>
    <row r="48" spans="1:13">
      <c r="B48" s="112"/>
      <c r="C48" s="112"/>
      <c r="D48" s="112"/>
      <c r="E48" s="112"/>
      <c r="F48" s="112"/>
      <c r="G48" s="112"/>
      <c r="H48" s="112"/>
      <c r="I48" s="112"/>
      <c r="J48" s="112"/>
    </row>
    <row r="49" spans="1:12">
      <c r="B49" s="112"/>
      <c r="C49" s="112"/>
      <c r="D49" s="112"/>
      <c r="E49" s="112"/>
      <c r="F49" s="112"/>
      <c r="G49" s="112"/>
      <c r="H49" s="112"/>
      <c r="I49" s="112"/>
      <c r="J49" s="112"/>
    </row>
    <row r="50" spans="1:12">
      <c r="B50" s="112"/>
      <c r="C50" s="112"/>
      <c r="D50" s="112"/>
      <c r="E50" s="112"/>
      <c r="F50" s="112"/>
      <c r="G50" s="112"/>
      <c r="H50" s="112"/>
      <c r="I50" s="112"/>
      <c r="J50" s="112"/>
    </row>
    <row r="51" spans="1:12">
      <c r="B51" s="112"/>
      <c r="C51" s="112"/>
      <c r="D51" s="112"/>
      <c r="E51" s="112"/>
      <c r="F51" s="112"/>
      <c r="G51" s="112"/>
      <c r="H51" s="112"/>
      <c r="I51" s="112"/>
      <c r="J51" s="112"/>
    </row>
    <row r="55" spans="1:12">
      <c r="A55" s="112"/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12">
      <c r="A56" s="112"/>
      <c r="B56" s="112"/>
      <c r="C56" s="112"/>
      <c r="D56" s="112"/>
      <c r="E56" s="112"/>
      <c r="F56" s="112"/>
      <c r="G56" s="112"/>
      <c r="H56" s="112"/>
      <c r="I56" s="112"/>
      <c r="J56" s="112"/>
    </row>
    <row r="57" spans="1:12">
      <c r="A57" s="112"/>
      <c r="B57" s="112"/>
      <c r="C57" s="112"/>
      <c r="D57" s="112"/>
      <c r="E57" s="112"/>
      <c r="F57" s="112"/>
      <c r="G57" s="112"/>
      <c r="H57" s="112"/>
      <c r="I57" s="112"/>
      <c r="J57" s="112"/>
    </row>
    <row r="58" spans="1:12">
      <c r="A58" s="112"/>
      <c r="B58" s="112"/>
      <c r="C58" s="112"/>
      <c r="D58" s="112"/>
      <c r="E58" s="112"/>
      <c r="F58" s="112"/>
      <c r="G58" s="112"/>
      <c r="H58" s="112"/>
      <c r="I58" s="112"/>
      <c r="J58" s="112"/>
    </row>
    <row r="59" spans="1:12">
      <c r="A59" s="112"/>
      <c r="B59" s="112"/>
      <c r="C59" s="112"/>
      <c r="D59" s="112"/>
      <c r="E59" s="112"/>
      <c r="F59" s="112"/>
      <c r="G59" s="112"/>
      <c r="H59" s="112"/>
      <c r="I59" s="112"/>
      <c r="J59" s="112"/>
    </row>
    <row r="60" spans="1:12">
      <c r="A60" s="112"/>
      <c r="B60" s="112"/>
      <c r="C60" s="112"/>
      <c r="D60" s="112"/>
      <c r="E60" s="112"/>
      <c r="F60" s="112"/>
      <c r="G60" s="112"/>
      <c r="H60" s="112"/>
      <c r="I60" s="112"/>
      <c r="J60" s="112"/>
    </row>
    <row r="61" spans="1:12">
      <c r="A61" s="112"/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</row>
  </sheetData>
  <pageMargins left="0.78740157499999996" right="0.78740157499999996" top="0.984251969" bottom="0.984251969" header="0.5" footer="0.5"/>
  <pageSetup paperSize="9" scale="41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C36"/>
  <sheetViews>
    <sheetView view="pageBreakPreview" zoomScaleNormal="100" zoomScaleSheetLayoutView="100" workbookViewId="0"/>
  </sheetViews>
  <sheetFormatPr defaultColWidth="11.453125" defaultRowHeight="12.5"/>
  <cols>
    <col min="1" max="1" width="68.7265625" style="56" customWidth="1"/>
    <col min="2" max="6" width="11.7265625" style="56" customWidth="1"/>
    <col min="7" max="16384" width="11.453125" style="56"/>
  </cols>
  <sheetData>
    <row r="1" spans="1:16383" ht="16" thickBot="1">
      <c r="A1" s="149" t="s">
        <v>524</v>
      </c>
      <c r="B1" s="150"/>
      <c r="C1" s="150"/>
      <c r="D1" s="150"/>
      <c r="E1" s="150"/>
      <c r="F1" s="151"/>
    </row>
    <row r="2" spans="1:16383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</row>
    <row r="3" spans="1:16383" ht="15.75" customHeight="1">
      <c r="A3" s="164" t="s">
        <v>474</v>
      </c>
      <c r="B3" s="165"/>
      <c r="C3" s="165"/>
      <c r="D3" s="165"/>
      <c r="E3" s="165"/>
      <c r="F3" s="165"/>
    </row>
    <row r="4" spans="1:16383" ht="18" customHeight="1">
      <c r="A4" s="159" t="s">
        <v>486</v>
      </c>
      <c r="B4" s="175">
        <v>2651</v>
      </c>
      <c r="C4" s="175" t="s">
        <v>510</v>
      </c>
      <c r="D4" s="175">
        <v>3352</v>
      </c>
      <c r="E4" s="175">
        <v>3793</v>
      </c>
      <c r="F4" s="175">
        <v>1462</v>
      </c>
    </row>
    <row r="5" spans="1:16383" ht="18" customHeight="1">
      <c r="A5" s="159" t="s">
        <v>487</v>
      </c>
      <c r="B5" s="172">
        <v>5.4</v>
      </c>
      <c r="C5" s="172" t="s">
        <v>510</v>
      </c>
      <c r="D5" s="172">
        <v>6.3</v>
      </c>
      <c r="E5" s="172">
        <v>6.2</v>
      </c>
      <c r="F5" s="172">
        <v>5</v>
      </c>
    </row>
    <row r="6" spans="1:16383" ht="18" customHeight="1">
      <c r="A6" s="159" t="s">
        <v>488</v>
      </c>
      <c r="B6" s="172">
        <v>7.1</v>
      </c>
      <c r="C6" s="172" t="s">
        <v>510</v>
      </c>
      <c r="D6" s="172">
        <v>13.3</v>
      </c>
      <c r="E6" s="172">
        <v>12.5</v>
      </c>
      <c r="F6" s="172">
        <v>0</v>
      </c>
    </row>
    <row r="7" spans="1:16383" ht="18" customHeight="1">
      <c r="A7" s="167" t="s">
        <v>483</v>
      </c>
      <c r="B7" s="175" t="s">
        <v>510</v>
      </c>
      <c r="C7" s="172" t="s">
        <v>510</v>
      </c>
      <c r="D7" s="172">
        <v>173</v>
      </c>
      <c r="E7" s="172">
        <v>332</v>
      </c>
      <c r="F7" s="172">
        <v>2627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</row>
    <row r="8" spans="1:16383" ht="18" customHeight="1">
      <c r="A8" s="158"/>
      <c r="B8" s="161"/>
      <c r="C8" s="161"/>
      <c r="D8" s="161"/>
      <c r="E8" s="161"/>
      <c r="F8" s="161"/>
    </row>
    <row r="9" spans="1:16383" ht="18" customHeight="1">
      <c r="A9" s="164" t="s">
        <v>473</v>
      </c>
      <c r="B9" s="184"/>
      <c r="C9" s="184"/>
      <c r="D9" s="184"/>
      <c r="E9" s="184"/>
      <c r="F9" s="184"/>
    </row>
    <row r="10" spans="1:16383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1</v>
      </c>
    </row>
    <row r="11" spans="1:16383" ht="18" customHeight="1">
      <c r="A11" s="159" t="s">
        <v>515</v>
      </c>
      <c r="B11" s="172">
        <v>0</v>
      </c>
      <c r="C11" s="175">
        <v>0</v>
      </c>
      <c r="D11" s="175">
        <v>0</v>
      </c>
      <c r="E11" s="175">
        <v>0</v>
      </c>
      <c r="F11" s="175">
        <v>0</v>
      </c>
    </row>
    <row r="12" spans="1:16383" ht="18" customHeight="1">
      <c r="A12" s="159" t="s">
        <v>500</v>
      </c>
      <c r="B12" s="173">
        <v>0.22</v>
      </c>
      <c r="C12" s="173">
        <v>0</v>
      </c>
      <c r="D12" s="173">
        <v>0.27</v>
      </c>
      <c r="E12" s="173">
        <v>0</v>
      </c>
      <c r="F12" s="173">
        <v>0.11</v>
      </c>
    </row>
    <row r="13" spans="1:16383" ht="18" customHeight="1">
      <c r="A13" s="159" t="s">
        <v>501</v>
      </c>
      <c r="B13" s="173">
        <v>0.5</v>
      </c>
      <c r="C13" s="173">
        <v>0.24</v>
      </c>
      <c r="D13" s="174">
        <v>0.13</v>
      </c>
      <c r="E13" s="173">
        <v>0.14000000000000001</v>
      </c>
      <c r="F13" s="173">
        <v>0.18</v>
      </c>
    </row>
    <row r="14" spans="1:16383" ht="18" customHeight="1">
      <c r="A14" s="158"/>
      <c r="B14" s="161"/>
      <c r="C14" s="161"/>
      <c r="D14" s="161"/>
      <c r="E14" s="161"/>
      <c r="F14" s="161"/>
    </row>
    <row r="15" spans="1:16383" ht="18" customHeight="1">
      <c r="A15" s="164" t="s">
        <v>475</v>
      </c>
      <c r="B15" s="164"/>
      <c r="C15" s="164"/>
      <c r="D15" s="164"/>
      <c r="E15" s="164"/>
      <c r="F15" s="164"/>
    </row>
    <row r="16" spans="1:16383" ht="18" customHeight="1">
      <c r="A16" s="163" t="s">
        <v>494</v>
      </c>
      <c r="B16" s="175" t="s">
        <v>510</v>
      </c>
      <c r="C16" s="175" t="s">
        <v>510</v>
      </c>
      <c r="D16" s="175" t="s">
        <v>510</v>
      </c>
      <c r="E16" s="175">
        <v>21579</v>
      </c>
      <c r="F16" s="175">
        <v>14732</v>
      </c>
    </row>
    <row r="17" spans="1:7" ht="18" customHeight="1">
      <c r="A17" s="159" t="s">
        <v>476</v>
      </c>
      <c r="B17" s="175">
        <v>1003</v>
      </c>
      <c r="C17" s="175">
        <v>790</v>
      </c>
      <c r="D17" s="175">
        <v>1005</v>
      </c>
      <c r="E17" s="175">
        <v>1304</v>
      </c>
      <c r="F17" s="175">
        <v>1007</v>
      </c>
    </row>
    <row r="18" spans="1:7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1</v>
      </c>
      <c r="F18" s="172">
        <v>1</v>
      </c>
    </row>
    <row r="19" spans="1:7" ht="18" customHeight="1">
      <c r="A19" s="163" t="s">
        <v>493</v>
      </c>
      <c r="B19" s="172">
        <v>42.9</v>
      </c>
      <c r="C19" s="172">
        <v>100</v>
      </c>
      <c r="D19" s="172">
        <v>100</v>
      </c>
      <c r="E19" s="172">
        <v>100</v>
      </c>
      <c r="F19" s="172">
        <v>0</v>
      </c>
    </row>
    <row r="20" spans="1:7" ht="18" customHeight="1">
      <c r="A20" s="158"/>
      <c r="B20" s="161"/>
      <c r="C20" s="161"/>
      <c r="D20" s="161"/>
      <c r="E20" s="161"/>
      <c r="F20" s="161"/>
    </row>
    <row r="21" spans="1:7" ht="18" customHeight="1">
      <c r="A21" s="164" t="s">
        <v>477</v>
      </c>
      <c r="B21" s="164"/>
      <c r="C21" s="164"/>
      <c r="D21" s="164"/>
      <c r="E21" s="164"/>
      <c r="F21" s="164"/>
      <c r="G21" s="171"/>
    </row>
    <row r="22" spans="1:7" ht="18" customHeight="1">
      <c r="A22" s="163" t="s">
        <v>514</v>
      </c>
      <c r="B22" s="175">
        <v>409574.80159910006</v>
      </c>
      <c r="C22" s="175">
        <v>306519.24306132802</v>
      </c>
      <c r="D22" s="175">
        <v>325328.88075999997</v>
      </c>
      <c r="E22" s="175">
        <v>342924.17824590002</v>
      </c>
      <c r="F22" s="175">
        <v>348964.30845110002</v>
      </c>
      <c r="G22" s="171"/>
    </row>
    <row r="23" spans="1:7" ht="18" customHeight="1">
      <c r="A23" s="163" t="s">
        <v>513</v>
      </c>
      <c r="B23" s="175">
        <v>133803.22759910001</v>
      </c>
      <c r="C23" s="175">
        <v>116898.03834772299</v>
      </c>
      <c r="D23" s="175">
        <v>125691.70987999999</v>
      </c>
      <c r="E23" s="175">
        <v>145074.49864590002</v>
      </c>
      <c r="F23" s="175">
        <v>145094.5163391</v>
      </c>
    </row>
    <row r="24" spans="1:7" ht="18" customHeight="1">
      <c r="A24" s="163" t="s">
        <v>511</v>
      </c>
      <c r="B24" s="175">
        <v>273658.32</v>
      </c>
      <c r="C24" s="175">
        <v>187595.38679360499</v>
      </c>
      <c r="D24" s="175">
        <v>197448.44</v>
      </c>
      <c r="E24" s="175">
        <v>195345.36</v>
      </c>
      <c r="F24" s="175">
        <v>201861.80000000002</v>
      </c>
    </row>
    <row r="25" spans="1:7" ht="18" customHeight="1">
      <c r="A25" s="163" t="s">
        <v>512</v>
      </c>
      <c r="B25" s="175">
        <v>2113.2539999999999</v>
      </c>
      <c r="C25" s="175">
        <v>2025.81792</v>
      </c>
      <c r="D25" s="175">
        <v>2188.7308800000001</v>
      </c>
      <c r="E25" s="175">
        <v>2504.3195999999998</v>
      </c>
      <c r="F25" s="175">
        <v>2007.9921120000001</v>
      </c>
    </row>
    <row r="26" spans="1:7" ht="18" customHeight="1">
      <c r="A26" s="163" t="s">
        <v>492</v>
      </c>
      <c r="B26" s="175">
        <v>809.2</v>
      </c>
      <c r="C26" s="175">
        <v>658.6</v>
      </c>
      <c r="D26" s="175">
        <v>705</v>
      </c>
      <c r="E26" s="175">
        <v>856.9</v>
      </c>
      <c r="F26" s="175">
        <v>858.2</v>
      </c>
    </row>
    <row r="27" spans="1:7" ht="18" customHeight="1">
      <c r="A27" s="170" t="s">
        <v>505</v>
      </c>
      <c r="B27" s="178">
        <v>11.99</v>
      </c>
      <c r="C27" s="178">
        <v>13.26</v>
      </c>
      <c r="D27" s="178">
        <v>12.14</v>
      </c>
      <c r="E27" s="178">
        <v>9.81</v>
      </c>
      <c r="F27" s="178">
        <v>9.89</v>
      </c>
    </row>
    <row r="28" spans="1:7" ht="18" customHeight="1">
      <c r="A28" s="166"/>
      <c r="B28" s="161"/>
      <c r="C28" s="161"/>
      <c r="D28" s="161"/>
      <c r="E28" s="161"/>
      <c r="F28" s="161"/>
    </row>
    <row r="29" spans="1:7" ht="18" customHeight="1">
      <c r="A29" s="164" t="s">
        <v>479</v>
      </c>
      <c r="B29" s="164"/>
      <c r="C29" s="164"/>
      <c r="D29" s="164"/>
      <c r="E29" s="164"/>
      <c r="F29" s="164"/>
    </row>
    <row r="30" spans="1:7" ht="18" customHeight="1">
      <c r="A30" s="163" t="s">
        <v>504</v>
      </c>
      <c r="B30" s="172">
        <v>0</v>
      </c>
      <c r="C30" s="172">
        <v>0</v>
      </c>
      <c r="D30" s="172">
        <v>0</v>
      </c>
      <c r="E30" s="172">
        <v>0</v>
      </c>
      <c r="F30" s="172">
        <v>0</v>
      </c>
    </row>
    <row r="31" spans="1:7" ht="18" customHeight="1">
      <c r="A31" s="163" t="s">
        <v>502</v>
      </c>
      <c r="B31" s="175">
        <v>34304</v>
      </c>
      <c r="C31" s="175">
        <v>13377</v>
      </c>
      <c r="D31" s="175">
        <v>12324</v>
      </c>
      <c r="E31" s="175">
        <v>76222</v>
      </c>
      <c r="F31" s="175">
        <v>75992</v>
      </c>
    </row>
    <row r="32" spans="1:7" ht="18" customHeight="1">
      <c r="A32" s="163" t="s">
        <v>480</v>
      </c>
      <c r="B32" s="175">
        <v>82</v>
      </c>
      <c r="C32" s="175">
        <v>52</v>
      </c>
      <c r="D32" s="175">
        <v>56</v>
      </c>
      <c r="E32" s="175">
        <v>55</v>
      </c>
      <c r="F32" s="175">
        <v>51</v>
      </c>
    </row>
    <row r="33" spans="1:6" ht="18" customHeight="1">
      <c r="A33" s="163" t="s">
        <v>481</v>
      </c>
      <c r="B33" s="175">
        <v>70.7</v>
      </c>
      <c r="C33" s="172">
        <v>0</v>
      </c>
      <c r="D33" s="172">
        <v>0</v>
      </c>
      <c r="E33" s="172">
        <v>0</v>
      </c>
      <c r="F33" s="172">
        <v>0</v>
      </c>
    </row>
    <row r="34" spans="1:6" ht="18" customHeight="1">
      <c r="A34" s="163" t="s">
        <v>491</v>
      </c>
      <c r="B34" s="175">
        <v>44</v>
      </c>
      <c r="C34" s="175">
        <v>976</v>
      </c>
      <c r="D34" s="175">
        <v>128</v>
      </c>
      <c r="E34" s="175">
        <v>7</v>
      </c>
      <c r="F34" s="175">
        <v>2840</v>
      </c>
    </row>
    <row r="35" spans="1:6" ht="21" customHeight="1">
      <c r="A35" s="163" t="s">
        <v>482</v>
      </c>
      <c r="B35" s="175">
        <v>100</v>
      </c>
      <c r="C35" s="175">
        <v>86.7</v>
      </c>
      <c r="D35" s="175">
        <v>0</v>
      </c>
      <c r="E35" s="175">
        <v>100</v>
      </c>
      <c r="F35" s="175">
        <v>100</v>
      </c>
    </row>
    <row r="36" spans="1:6" ht="27" customHeight="1">
      <c r="A36" s="148" t="s">
        <v>413</v>
      </c>
    </row>
  </sheetData>
  <pageMargins left="0.24" right="0.24" top="0.984251969" bottom="0.984251969" header="0.5" footer="0.5"/>
  <pageSetup paperSize="9" scale="7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C2:I62"/>
  <sheetViews>
    <sheetView showGridLines="0" zoomScale="90" zoomScaleNormal="90" workbookViewId="0">
      <selection activeCell="G70" sqref="G70"/>
    </sheetView>
  </sheetViews>
  <sheetFormatPr defaultRowHeight="12.5"/>
  <cols>
    <col min="3" max="3" width="31.1796875" bestFit="1" customWidth="1"/>
    <col min="4" max="4" width="12" bestFit="1" customWidth="1"/>
    <col min="5" max="5" width="11.7265625" bestFit="1" customWidth="1"/>
    <col min="6" max="6" width="11.7265625" customWidth="1"/>
    <col min="9" max="9" width="11.7265625" bestFit="1" customWidth="1"/>
  </cols>
  <sheetData>
    <row r="2" spans="3:9">
      <c r="C2" s="102"/>
      <c r="D2" s="106" t="s">
        <v>427</v>
      </c>
      <c r="E2" s="106" t="s">
        <v>426</v>
      </c>
    </row>
    <row r="3" spans="3:9" ht="15.5">
      <c r="C3" s="93" t="s">
        <v>424</v>
      </c>
      <c r="D3" s="110" t="e">
        <f>+#REF!</f>
        <v>#REF!</v>
      </c>
      <c r="E3" s="110" t="e">
        <f>#REF!</f>
        <v>#REF!</v>
      </c>
      <c r="F3" s="64" t="s">
        <v>428</v>
      </c>
    </row>
    <row r="5" spans="3:9">
      <c r="D5" s="57" t="s">
        <v>1</v>
      </c>
      <c r="F5" s="57" t="s">
        <v>77</v>
      </c>
      <c r="G5" s="57" t="s">
        <v>77</v>
      </c>
    </row>
    <row r="6" spans="3:9">
      <c r="C6" s="102"/>
      <c r="D6" s="106" t="s">
        <v>421</v>
      </c>
      <c r="E6" s="106" t="s">
        <v>2</v>
      </c>
      <c r="F6" s="106" t="s">
        <v>427</v>
      </c>
      <c r="G6" s="106" t="s">
        <v>426</v>
      </c>
      <c r="H6" s="106" t="s">
        <v>423</v>
      </c>
      <c r="I6" s="106" t="s">
        <v>2</v>
      </c>
    </row>
    <row r="7" spans="3:9" ht="15.5">
      <c r="C7" s="93" t="s">
        <v>11</v>
      </c>
      <c r="D7" s="94" t="e">
        <f>#REF!</f>
        <v>#REF!</v>
      </c>
      <c r="E7" s="95" t="e">
        <f>D7/$D$22</f>
        <v>#REF!</v>
      </c>
      <c r="F7" s="94" t="e">
        <f>#REF!</f>
        <v>#REF!</v>
      </c>
      <c r="G7" s="94" t="e">
        <f>#REF!</f>
        <v>#REF!</v>
      </c>
      <c r="H7" s="94" t="e">
        <f>G7-F7</f>
        <v>#REF!</v>
      </c>
      <c r="I7" s="95" t="e">
        <f>H7/$D$3</f>
        <v>#REF!</v>
      </c>
    </row>
    <row r="8" spans="3:9" ht="15.5">
      <c r="C8" s="96" t="s">
        <v>5</v>
      </c>
      <c r="D8" s="94" t="e">
        <f>#REF!</f>
        <v>#REF!</v>
      </c>
      <c r="E8" s="97" t="e">
        <f t="shared" ref="E8:E21" si="0">D8/$D$22</f>
        <v>#REF!</v>
      </c>
      <c r="F8" s="94" t="e">
        <f>#REF!</f>
        <v>#REF!</v>
      </c>
      <c r="G8" s="94" t="e">
        <f>#REF!</f>
        <v>#REF!</v>
      </c>
      <c r="H8" s="94" t="e">
        <f t="shared" ref="H8:H21" si="1">G8-F8</f>
        <v>#REF!</v>
      </c>
      <c r="I8" s="95" t="e">
        <f t="shared" ref="I8:I21" si="2">H8/$D$3</f>
        <v>#REF!</v>
      </c>
    </row>
    <row r="9" spans="3:9" ht="15.5">
      <c r="C9" s="96" t="s">
        <v>4</v>
      </c>
      <c r="D9" s="94" t="e">
        <f>#REF!</f>
        <v>#REF!</v>
      </c>
      <c r="E9" s="97" t="e">
        <f t="shared" si="0"/>
        <v>#REF!</v>
      </c>
      <c r="F9" s="94" t="e">
        <f>#REF!</f>
        <v>#REF!</v>
      </c>
      <c r="G9" s="94" t="e">
        <f>#REF!</f>
        <v>#REF!</v>
      </c>
      <c r="H9" s="94" t="e">
        <f t="shared" si="1"/>
        <v>#REF!</v>
      </c>
      <c r="I9" s="95" t="e">
        <f t="shared" si="2"/>
        <v>#REF!</v>
      </c>
    </row>
    <row r="10" spans="3:9" ht="15.5">
      <c r="C10" s="96" t="s">
        <v>414</v>
      </c>
      <c r="D10" s="94" t="e">
        <f>#REF!</f>
        <v>#REF!</v>
      </c>
      <c r="E10" s="97" t="e">
        <f t="shared" si="0"/>
        <v>#REF!</v>
      </c>
      <c r="F10" s="94" t="e">
        <f>#REF!</f>
        <v>#REF!</v>
      </c>
      <c r="G10" s="94" t="e">
        <f>#REF!</f>
        <v>#REF!</v>
      </c>
      <c r="H10" s="94" t="e">
        <f t="shared" si="1"/>
        <v>#REF!</v>
      </c>
      <c r="I10" s="95" t="e">
        <f t="shared" si="2"/>
        <v>#REF!</v>
      </c>
    </row>
    <row r="11" spans="3:9" ht="15.5">
      <c r="C11" s="96" t="s">
        <v>418</v>
      </c>
      <c r="D11" s="94" t="e">
        <f>#REF!</f>
        <v>#REF!</v>
      </c>
      <c r="E11" s="97" t="e">
        <f t="shared" si="0"/>
        <v>#REF!</v>
      </c>
      <c r="F11" s="94" t="e">
        <f>#REF!</f>
        <v>#REF!</v>
      </c>
      <c r="G11" s="94" t="e">
        <f>#REF!</f>
        <v>#REF!</v>
      </c>
      <c r="H11" s="94" t="e">
        <f t="shared" si="1"/>
        <v>#REF!</v>
      </c>
      <c r="I11" s="95" t="e">
        <f t="shared" si="2"/>
        <v>#REF!</v>
      </c>
    </row>
    <row r="12" spans="3:9" ht="15.5">
      <c r="C12" s="96" t="s">
        <v>420</v>
      </c>
      <c r="D12" s="94" t="e">
        <f>#REF!</f>
        <v>#REF!</v>
      </c>
      <c r="E12" s="97" t="e">
        <f t="shared" si="0"/>
        <v>#REF!</v>
      </c>
      <c r="F12" s="94" t="e">
        <f>#REF!</f>
        <v>#REF!</v>
      </c>
      <c r="G12" s="94" t="e">
        <f>#REF!</f>
        <v>#REF!</v>
      </c>
      <c r="H12" s="94" t="e">
        <f t="shared" si="1"/>
        <v>#REF!</v>
      </c>
      <c r="I12" s="95" t="e">
        <f t="shared" si="2"/>
        <v>#REF!</v>
      </c>
    </row>
    <row r="13" spans="3:9" ht="15.5">
      <c r="C13" s="96" t="s">
        <v>75</v>
      </c>
      <c r="D13" s="94" t="e">
        <f>#REF!</f>
        <v>#REF!</v>
      </c>
      <c r="E13" s="97" t="e">
        <f t="shared" si="0"/>
        <v>#REF!</v>
      </c>
      <c r="F13" s="94" t="e">
        <f>#REF!</f>
        <v>#REF!</v>
      </c>
      <c r="G13" s="94" t="e">
        <f>#REF!</f>
        <v>#REF!</v>
      </c>
      <c r="H13" s="94" t="e">
        <f t="shared" si="1"/>
        <v>#REF!</v>
      </c>
      <c r="I13" s="95" t="e">
        <f t="shared" si="2"/>
        <v>#REF!</v>
      </c>
    </row>
    <row r="14" spans="3:9" ht="15.5">
      <c r="C14" s="96" t="s">
        <v>305</v>
      </c>
      <c r="D14" s="94" t="e">
        <f>#REF!</f>
        <v>#REF!</v>
      </c>
      <c r="E14" s="97" t="e">
        <f t="shared" si="0"/>
        <v>#REF!</v>
      </c>
      <c r="F14" s="94" t="e">
        <f>#REF!</f>
        <v>#REF!</v>
      </c>
      <c r="G14" s="94" t="e">
        <f>#REF!</f>
        <v>#REF!</v>
      </c>
      <c r="H14" s="94" t="e">
        <f t="shared" si="1"/>
        <v>#REF!</v>
      </c>
      <c r="I14" s="95" t="e">
        <f t="shared" si="2"/>
        <v>#REF!</v>
      </c>
    </row>
    <row r="15" spans="3:9" ht="15.5">
      <c r="C15" s="96" t="s">
        <v>388</v>
      </c>
      <c r="D15" s="94" t="e">
        <f>#REF!</f>
        <v>#REF!</v>
      </c>
      <c r="E15" s="97" t="e">
        <f t="shared" si="0"/>
        <v>#REF!</v>
      </c>
      <c r="F15" s="94" t="e">
        <f>#REF!</f>
        <v>#REF!</v>
      </c>
      <c r="G15" s="94" t="e">
        <f>#REF!</f>
        <v>#REF!</v>
      </c>
      <c r="H15" s="94" t="e">
        <f t="shared" si="1"/>
        <v>#REF!</v>
      </c>
      <c r="I15" s="95" t="e">
        <f t="shared" si="2"/>
        <v>#REF!</v>
      </c>
    </row>
    <row r="16" spans="3:9" ht="15.5">
      <c r="C16" s="96" t="s">
        <v>6</v>
      </c>
      <c r="D16" s="94" t="e">
        <f>#REF!</f>
        <v>#REF!</v>
      </c>
      <c r="E16" s="97" t="e">
        <f t="shared" si="0"/>
        <v>#REF!</v>
      </c>
      <c r="F16" s="94" t="e">
        <f>#REF!</f>
        <v>#REF!</v>
      </c>
      <c r="G16" s="94" t="e">
        <f>#REF!</f>
        <v>#REF!</v>
      </c>
      <c r="H16" s="94" t="e">
        <f t="shared" si="1"/>
        <v>#REF!</v>
      </c>
      <c r="I16" s="95" t="e">
        <f t="shared" si="2"/>
        <v>#REF!</v>
      </c>
    </row>
    <row r="17" spans="3:9" ht="15.5">
      <c r="C17" s="96" t="s">
        <v>9</v>
      </c>
      <c r="D17" s="94" t="e">
        <f>#REF!</f>
        <v>#REF!</v>
      </c>
      <c r="E17" s="97" t="e">
        <f t="shared" si="0"/>
        <v>#REF!</v>
      </c>
      <c r="F17" s="94" t="e">
        <f>#REF!</f>
        <v>#REF!</v>
      </c>
      <c r="G17" s="94" t="e">
        <f>#REF!</f>
        <v>#REF!</v>
      </c>
      <c r="H17" s="94" t="e">
        <f t="shared" si="1"/>
        <v>#REF!</v>
      </c>
      <c r="I17" s="95" t="e">
        <f t="shared" si="2"/>
        <v>#REF!</v>
      </c>
    </row>
    <row r="18" spans="3:9" ht="15.5">
      <c r="C18" s="96" t="s">
        <v>419</v>
      </c>
      <c r="D18" s="94" t="e">
        <f>#REF!</f>
        <v>#REF!</v>
      </c>
      <c r="E18" s="97" t="e">
        <f t="shared" si="0"/>
        <v>#REF!</v>
      </c>
      <c r="F18" s="94" t="e">
        <f>#REF!</f>
        <v>#REF!</v>
      </c>
      <c r="G18" s="94" t="e">
        <f>#REF!</f>
        <v>#REF!</v>
      </c>
      <c r="H18" s="94" t="e">
        <f t="shared" si="1"/>
        <v>#REF!</v>
      </c>
      <c r="I18" s="95" t="e">
        <f t="shared" si="2"/>
        <v>#REF!</v>
      </c>
    </row>
    <row r="19" spans="3:9" ht="15.5">
      <c r="C19" s="98" t="s">
        <v>304</v>
      </c>
      <c r="D19" s="94" t="e">
        <f>#REF!</f>
        <v>#REF!</v>
      </c>
      <c r="E19" s="97" t="e">
        <f t="shared" si="0"/>
        <v>#REF!</v>
      </c>
      <c r="F19" s="94" t="e">
        <f>#REF!</f>
        <v>#REF!</v>
      </c>
      <c r="G19" s="94" t="e">
        <f>#REF!</f>
        <v>#REF!</v>
      </c>
      <c r="H19" s="94" t="e">
        <f t="shared" si="1"/>
        <v>#REF!</v>
      </c>
      <c r="I19" s="95" t="e">
        <f t="shared" si="2"/>
        <v>#REF!</v>
      </c>
    </row>
    <row r="20" spans="3:9" ht="15.5">
      <c r="C20" s="98" t="s">
        <v>73</v>
      </c>
      <c r="D20" s="94" t="e">
        <f>#REF!</f>
        <v>#REF!</v>
      </c>
      <c r="E20" s="97" t="e">
        <f t="shared" si="0"/>
        <v>#REF!</v>
      </c>
      <c r="F20" s="94" t="e">
        <f>#REF!</f>
        <v>#REF!</v>
      </c>
      <c r="G20" s="94" t="e">
        <f>#REF!</f>
        <v>#REF!</v>
      </c>
      <c r="H20" s="94" t="e">
        <f t="shared" si="1"/>
        <v>#REF!</v>
      </c>
      <c r="I20" s="95" t="e">
        <f t="shared" si="2"/>
        <v>#REF!</v>
      </c>
    </row>
    <row r="21" spans="3:9" ht="15.5">
      <c r="C21" s="1" t="s">
        <v>320</v>
      </c>
      <c r="D21" s="94" t="e">
        <f>+#REF!/1000+#REF!/1000</f>
        <v>#REF!</v>
      </c>
      <c r="E21" s="65" t="e">
        <f t="shared" si="0"/>
        <v>#REF!</v>
      </c>
      <c r="F21" s="94" t="e">
        <f>F22-SUM(F7:F20)</f>
        <v>#REF!</v>
      </c>
      <c r="G21" s="94" t="e">
        <f>G22-SUM(G7:G20)</f>
        <v>#REF!</v>
      </c>
      <c r="H21" s="94" t="e">
        <f t="shared" si="1"/>
        <v>#REF!</v>
      </c>
      <c r="I21" s="95" t="e">
        <f t="shared" si="2"/>
        <v>#REF!</v>
      </c>
    </row>
    <row r="22" spans="3:9" ht="15.5">
      <c r="C22" s="99" t="s">
        <v>421</v>
      </c>
      <c r="D22" s="100" t="e">
        <f>SUM(D7:D21)</f>
        <v>#REF!</v>
      </c>
      <c r="E22" s="101"/>
      <c r="F22" s="100" t="e">
        <f>#REF!</f>
        <v>#REF!</v>
      </c>
      <c r="G22" s="100" t="e">
        <f>#REF!</f>
        <v>#REF!</v>
      </c>
      <c r="H22" s="100" t="e">
        <f>G22-F22</f>
        <v>#REF!</v>
      </c>
      <c r="I22" s="95" t="e">
        <f>H22/$D$3</f>
        <v>#REF!</v>
      </c>
    </row>
    <row r="23" spans="3:9" ht="15.5">
      <c r="C23" s="1" t="s">
        <v>306</v>
      </c>
      <c r="F23" s="65" t="e">
        <f>F22/D3</f>
        <v>#REF!</v>
      </c>
      <c r="G23" s="65" t="e">
        <f>G22/E3</f>
        <v>#REF!</v>
      </c>
      <c r="H23" s="109" t="e">
        <f>G23-F23</f>
        <v>#REF!</v>
      </c>
      <c r="I23" s="109"/>
    </row>
    <row r="25" spans="3:9">
      <c r="D25" s="57" t="s">
        <v>77</v>
      </c>
    </row>
    <row r="26" spans="3:9">
      <c r="C26" s="102"/>
      <c r="D26" s="106" t="s">
        <v>3</v>
      </c>
      <c r="E26" s="106" t="s">
        <v>14</v>
      </c>
      <c r="F26" s="106"/>
    </row>
    <row r="27" spans="3:9" ht="15.5">
      <c r="C27" s="93" t="s">
        <v>11</v>
      </c>
      <c r="D27" s="94" t="e">
        <f>#REF!</f>
        <v>#REF!</v>
      </c>
      <c r="E27" s="95" t="e">
        <f t="shared" ref="E27:E40" si="3">D27/$D$41</f>
        <v>#REF!</v>
      </c>
      <c r="F27" s="107"/>
    </row>
    <row r="28" spans="3:9" ht="15.5">
      <c r="C28" s="96" t="s">
        <v>5</v>
      </c>
      <c r="D28" s="94" t="e">
        <f>#REF!</f>
        <v>#REF!</v>
      </c>
      <c r="E28" s="97" t="e">
        <f>D28/$D$41</f>
        <v>#REF!</v>
      </c>
      <c r="F28" s="107"/>
    </row>
    <row r="29" spans="3:9" ht="15.5">
      <c r="C29" s="96" t="s">
        <v>4</v>
      </c>
      <c r="D29" s="94" t="e">
        <f>#REF!</f>
        <v>#REF!</v>
      </c>
      <c r="E29" s="97" t="e">
        <f t="shared" si="3"/>
        <v>#REF!</v>
      </c>
      <c r="F29" s="107"/>
    </row>
    <row r="30" spans="3:9" ht="15.5">
      <c r="C30" s="96" t="s">
        <v>414</v>
      </c>
      <c r="D30" s="94" t="e">
        <f>#REF!</f>
        <v>#REF!</v>
      </c>
      <c r="E30" s="97" t="e">
        <f t="shared" si="3"/>
        <v>#REF!</v>
      </c>
      <c r="F30" s="107"/>
    </row>
    <row r="31" spans="3:9" ht="15.5">
      <c r="C31" s="96" t="s">
        <v>418</v>
      </c>
      <c r="D31" s="94" t="e">
        <f>#REF!</f>
        <v>#REF!</v>
      </c>
      <c r="E31" s="97" t="e">
        <f t="shared" si="3"/>
        <v>#REF!</v>
      </c>
      <c r="F31" s="107"/>
    </row>
    <row r="32" spans="3:9" ht="15.5">
      <c r="C32" s="96" t="s">
        <v>420</v>
      </c>
      <c r="D32" s="94" t="e">
        <f>#REF!</f>
        <v>#REF!</v>
      </c>
      <c r="E32" s="97" t="e">
        <f t="shared" si="3"/>
        <v>#REF!</v>
      </c>
      <c r="F32" s="107"/>
    </row>
    <row r="33" spans="3:6" ht="15.5">
      <c r="C33" s="96" t="s">
        <v>75</v>
      </c>
      <c r="D33" s="94" t="e">
        <f>#REF!</f>
        <v>#REF!</v>
      </c>
      <c r="E33" s="97" t="e">
        <f t="shared" si="3"/>
        <v>#REF!</v>
      </c>
      <c r="F33" s="107"/>
    </row>
    <row r="34" spans="3:6" ht="15.5">
      <c r="C34" s="96" t="s">
        <v>305</v>
      </c>
      <c r="D34" s="94" t="e">
        <f>#REF!</f>
        <v>#REF!</v>
      </c>
      <c r="E34" s="97" t="e">
        <f t="shared" si="3"/>
        <v>#REF!</v>
      </c>
      <c r="F34" s="107"/>
    </row>
    <row r="35" spans="3:6" ht="15.5">
      <c r="C35" s="96" t="s">
        <v>388</v>
      </c>
      <c r="D35" s="94" t="e">
        <f>#REF!</f>
        <v>#REF!</v>
      </c>
      <c r="E35" s="97" t="e">
        <f t="shared" si="3"/>
        <v>#REF!</v>
      </c>
      <c r="F35" s="107"/>
    </row>
    <row r="36" spans="3:6" ht="15.5">
      <c r="C36" s="96" t="s">
        <v>6</v>
      </c>
      <c r="D36" s="94" t="e">
        <f>#REF!</f>
        <v>#REF!</v>
      </c>
      <c r="E36" s="97" t="e">
        <f t="shared" si="3"/>
        <v>#REF!</v>
      </c>
      <c r="F36" s="107"/>
    </row>
    <row r="37" spans="3:6" ht="15.5">
      <c r="C37" s="96" t="s">
        <v>9</v>
      </c>
      <c r="D37" s="94" t="e">
        <f>#REF!</f>
        <v>#REF!</v>
      </c>
      <c r="E37" s="97" t="e">
        <f t="shared" si="3"/>
        <v>#REF!</v>
      </c>
      <c r="F37" s="107"/>
    </row>
    <row r="38" spans="3:6" ht="15.5">
      <c r="C38" s="96" t="s">
        <v>419</v>
      </c>
      <c r="D38" s="94" t="e">
        <f>#REF!</f>
        <v>#REF!</v>
      </c>
      <c r="E38" s="97" t="e">
        <f t="shared" si="3"/>
        <v>#REF!</v>
      </c>
      <c r="F38" s="107"/>
    </row>
    <row r="39" spans="3:6" ht="15.5">
      <c r="C39" s="98" t="s">
        <v>304</v>
      </c>
      <c r="D39" s="94" t="e">
        <f>#REF!</f>
        <v>#REF!</v>
      </c>
      <c r="E39" s="97" t="e">
        <f t="shared" si="3"/>
        <v>#REF!</v>
      </c>
      <c r="F39" s="107"/>
    </row>
    <row r="40" spans="3:6" ht="15.5">
      <c r="C40" s="98" t="s">
        <v>73</v>
      </c>
      <c r="D40" s="103" t="e">
        <f>#REF!</f>
        <v>#REF!</v>
      </c>
      <c r="E40" s="105" t="e">
        <f t="shared" si="3"/>
        <v>#REF!</v>
      </c>
      <c r="F40" s="107"/>
    </row>
    <row r="41" spans="3:6" ht="15.5">
      <c r="C41" s="99" t="s">
        <v>3</v>
      </c>
      <c r="D41" s="104" t="e">
        <f>SUM(D27:D40)</f>
        <v>#REF!</v>
      </c>
      <c r="E41" s="101"/>
      <c r="F41" s="108"/>
    </row>
    <row r="47" spans="3:6">
      <c r="C47" s="102"/>
      <c r="D47" s="106" t="s">
        <v>422</v>
      </c>
      <c r="E47" s="106" t="s">
        <v>2</v>
      </c>
      <c r="F47" s="106"/>
    </row>
    <row r="48" spans="3:6" ht="15.5">
      <c r="C48" s="93" t="s">
        <v>11</v>
      </c>
      <c r="D48" s="94" t="e">
        <f t="shared" ref="D48:D61" si="4">D7-D27</f>
        <v>#REF!</v>
      </c>
      <c r="E48" s="95" t="e">
        <f t="shared" ref="E48:E61" si="5">D48/$D$41</f>
        <v>#REF!</v>
      </c>
      <c r="F48" s="107"/>
    </row>
    <row r="49" spans="3:6" ht="15.5">
      <c r="C49" s="96" t="s">
        <v>5</v>
      </c>
      <c r="D49" s="94" t="e">
        <f t="shared" si="4"/>
        <v>#REF!</v>
      </c>
      <c r="E49" s="97" t="e">
        <f t="shared" si="5"/>
        <v>#REF!</v>
      </c>
      <c r="F49" s="107"/>
    </row>
    <row r="50" spans="3:6" ht="15.5">
      <c r="C50" s="96" t="s">
        <v>4</v>
      </c>
      <c r="D50" s="94" t="e">
        <f t="shared" si="4"/>
        <v>#REF!</v>
      </c>
      <c r="E50" s="97" t="e">
        <f t="shared" si="5"/>
        <v>#REF!</v>
      </c>
      <c r="F50" s="107"/>
    </row>
    <row r="51" spans="3:6" ht="15.5">
      <c r="C51" s="96" t="s">
        <v>414</v>
      </c>
      <c r="D51" s="94" t="e">
        <f t="shared" si="4"/>
        <v>#REF!</v>
      </c>
      <c r="E51" s="97" t="e">
        <f t="shared" si="5"/>
        <v>#REF!</v>
      </c>
      <c r="F51" s="107"/>
    </row>
    <row r="52" spans="3:6" ht="15.5">
      <c r="C52" s="96" t="s">
        <v>418</v>
      </c>
      <c r="D52" s="94" t="e">
        <f t="shared" si="4"/>
        <v>#REF!</v>
      </c>
      <c r="E52" s="97" t="e">
        <f t="shared" si="5"/>
        <v>#REF!</v>
      </c>
      <c r="F52" s="107"/>
    </row>
    <row r="53" spans="3:6" ht="15.5">
      <c r="C53" s="96" t="s">
        <v>420</v>
      </c>
      <c r="D53" s="94" t="e">
        <f t="shared" si="4"/>
        <v>#REF!</v>
      </c>
      <c r="E53" s="97" t="e">
        <f t="shared" si="5"/>
        <v>#REF!</v>
      </c>
      <c r="F53" s="107"/>
    </row>
    <row r="54" spans="3:6" ht="15.5">
      <c r="C54" s="96" t="s">
        <v>75</v>
      </c>
      <c r="D54" s="94" t="e">
        <f t="shared" si="4"/>
        <v>#REF!</v>
      </c>
      <c r="E54" s="97" t="e">
        <f t="shared" si="5"/>
        <v>#REF!</v>
      </c>
      <c r="F54" s="107"/>
    </row>
    <row r="55" spans="3:6" ht="15.5">
      <c r="C55" s="96" t="s">
        <v>305</v>
      </c>
      <c r="D55" s="94" t="e">
        <f t="shared" si="4"/>
        <v>#REF!</v>
      </c>
      <c r="E55" s="97" t="e">
        <f t="shared" si="5"/>
        <v>#REF!</v>
      </c>
      <c r="F55" s="107"/>
    </row>
    <row r="56" spans="3:6" ht="15.5">
      <c r="C56" s="96" t="s">
        <v>388</v>
      </c>
      <c r="D56" s="94" t="e">
        <f t="shared" si="4"/>
        <v>#REF!</v>
      </c>
      <c r="E56" s="97" t="e">
        <f t="shared" si="5"/>
        <v>#REF!</v>
      </c>
      <c r="F56" s="107"/>
    </row>
    <row r="57" spans="3:6" ht="15.5">
      <c r="C57" s="96" t="s">
        <v>6</v>
      </c>
      <c r="D57" s="94" t="e">
        <f t="shared" si="4"/>
        <v>#REF!</v>
      </c>
      <c r="E57" s="97" t="e">
        <f t="shared" si="5"/>
        <v>#REF!</v>
      </c>
      <c r="F57" s="107"/>
    </row>
    <row r="58" spans="3:6" ht="15.5">
      <c r="C58" s="96" t="s">
        <v>9</v>
      </c>
      <c r="D58" s="94" t="e">
        <f t="shared" si="4"/>
        <v>#REF!</v>
      </c>
      <c r="E58" s="97" t="e">
        <f t="shared" si="5"/>
        <v>#REF!</v>
      </c>
      <c r="F58" s="107"/>
    </row>
    <row r="59" spans="3:6" ht="15.5">
      <c r="C59" s="96" t="s">
        <v>419</v>
      </c>
      <c r="D59" s="94" t="e">
        <f t="shared" si="4"/>
        <v>#REF!</v>
      </c>
      <c r="E59" s="97" t="e">
        <f t="shared" si="5"/>
        <v>#REF!</v>
      </c>
      <c r="F59" s="107"/>
    </row>
    <row r="60" spans="3:6" ht="15.5">
      <c r="C60" s="98" t="s">
        <v>304</v>
      </c>
      <c r="D60" s="94" t="e">
        <f t="shared" si="4"/>
        <v>#REF!</v>
      </c>
      <c r="E60" s="97" t="e">
        <f t="shared" si="5"/>
        <v>#REF!</v>
      </c>
      <c r="F60" s="107"/>
    </row>
    <row r="61" spans="3:6" ht="15.5">
      <c r="C61" s="98" t="s">
        <v>73</v>
      </c>
      <c r="D61" s="94" t="e">
        <f t="shared" si="4"/>
        <v>#REF!</v>
      </c>
      <c r="E61" s="105" t="e">
        <f t="shared" si="5"/>
        <v>#REF!</v>
      </c>
      <c r="F61" s="107"/>
    </row>
    <row r="62" spans="3:6" ht="15.5">
      <c r="C62" s="99" t="s">
        <v>422</v>
      </c>
      <c r="D62" s="104" t="e">
        <f>SUM(D48:D61)</f>
        <v>#REF!</v>
      </c>
      <c r="E62" s="101"/>
      <c r="F62" s="10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indexed="11"/>
  </sheetPr>
  <dimension ref="A1:S202"/>
  <sheetViews>
    <sheetView topLeftCell="A55" workbookViewId="0">
      <selection activeCell="B82" sqref="B82"/>
    </sheetView>
  </sheetViews>
  <sheetFormatPr defaultColWidth="11.453125" defaultRowHeight="12.5"/>
  <cols>
    <col min="1" max="1" width="22.453125" bestFit="1" customWidth="1"/>
    <col min="2" max="2" width="22.453125" customWidth="1"/>
  </cols>
  <sheetData>
    <row r="1" spans="1:19" s="52" customFormat="1" ht="13">
      <c r="A1" s="52" t="s">
        <v>76</v>
      </c>
      <c r="B1" s="52" t="s">
        <v>316</v>
      </c>
      <c r="C1" s="52" t="s">
        <v>323</v>
      </c>
      <c r="D1" s="52" t="s">
        <v>324</v>
      </c>
      <c r="E1" s="52" t="s">
        <v>77</v>
      </c>
      <c r="F1" s="52" t="s">
        <v>78</v>
      </c>
      <c r="G1" s="52" t="s">
        <v>79</v>
      </c>
      <c r="H1" s="52" t="s">
        <v>409</v>
      </c>
      <c r="I1" s="52" t="s">
        <v>80</v>
      </c>
      <c r="J1" s="52" t="s">
        <v>81</v>
      </c>
      <c r="K1" s="52" t="s">
        <v>82</v>
      </c>
    </row>
    <row r="2" spans="1:19">
      <c r="A2" s="53" t="s">
        <v>83</v>
      </c>
      <c r="B2" s="53" t="s">
        <v>83</v>
      </c>
      <c r="C2" s="53" t="s">
        <v>394</v>
      </c>
      <c r="D2" s="53" t="s">
        <v>84</v>
      </c>
      <c r="E2" s="53" t="s">
        <v>325</v>
      </c>
      <c r="F2" s="53" t="s">
        <v>85</v>
      </c>
      <c r="G2" s="53" t="s">
        <v>86</v>
      </c>
      <c r="H2" s="53" t="s">
        <v>87</v>
      </c>
      <c r="I2" s="53" t="s">
        <v>88</v>
      </c>
      <c r="J2" s="53" t="s">
        <v>17</v>
      </c>
      <c r="K2" s="53" t="s">
        <v>89</v>
      </c>
      <c r="L2" s="53"/>
      <c r="N2" s="53"/>
      <c r="O2" s="53"/>
      <c r="P2" s="53"/>
      <c r="Q2" s="53"/>
      <c r="R2" s="53"/>
      <c r="S2" s="53"/>
    </row>
    <row r="3" spans="1:19">
      <c r="A3" s="53" t="s">
        <v>90</v>
      </c>
      <c r="B3" s="53" t="s">
        <v>90</v>
      </c>
      <c r="C3" s="53" t="s">
        <v>91</v>
      </c>
      <c r="D3" s="53" t="s">
        <v>92</v>
      </c>
      <c r="E3" s="53" t="s">
        <v>93</v>
      </c>
      <c r="F3" s="53" t="s">
        <v>94</v>
      </c>
      <c r="G3" s="53" t="s">
        <v>95</v>
      </c>
      <c r="H3" s="53" t="s">
        <v>96</v>
      </c>
      <c r="I3" s="53" t="s">
        <v>326</v>
      </c>
      <c r="J3" s="53" t="s">
        <v>18</v>
      </c>
      <c r="K3" s="53" t="s">
        <v>97</v>
      </c>
    </row>
    <row r="4" spans="1:19">
      <c r="A4" s="53" t="s">
        <v>397</v>
      </c>
      <c r="B4" s="53" t="s">
        <v>13</v>
      </c>
      <c r="D4" s="53" t="s">
        <v>98</v>
      </c>
      <c r="E4" s="53" t="s">
        <v>99</v>
      </c>
      <c r="F4" s="53" t="s">
        <v>10</v>
      </c>
      <c r="G4" s="53" t="s">
        <v>1</v>
      </c>
      <c r="H4" s="53" t="s">
        <v>100</v>
      </c>
      <c r="I4" s="53" t="s">
        <v>101</v>
      </c>
      <c r="J4" s="53" t="s">
        <v>19</v>
      </c>
      <c r="K4" s="53" t="s">
        <v>102</v>
      </c>
    </row>
    <row r="5" spans="1:19">
      <c r="A5" s="53" t="s">
        <v>398</v>
      </c>
      <c r="B5" s="53" t="s">
        <v>307</v>
      </c>
      <c r="E5" s="53" t="s">
        <v>103</v>
      </c>
      <c r="G5" s="53" t="s">
        <v>104</v>
      </c>
      <c r="H5" s="53" t="s">
        <v>105</v>
      </c>
      <c r="I5" s="53" t="s">
        <v>327</v>
      </c>
      <c r="J5" s="53" t="s">
        <v>20</v>
      </c>
      <c r="K5" s="53" t="s">
        <v>106</v>
      </c>
    </row>
    <row r="6" spans="1:19">
      <c r="A6" s="53" t="s">
        <v>107</v>
      </c>
      <c r="B6" s="53" t="s">
        <v>308</v>
      </c>
      <c r="H6" s="53" t="s">
        <v>108</v>
      </c>
      <c r="I6" s="53" t="s">
        <v>328</v>
      </c>
      <c r="J6" s="53" t="s">
        <v>21</v>
      </c>
      <c r="K6" s="53" t="s">
        <v>109</v>
      </c>
    </row>
    <row r="7" spans="1:19">
      <c r="A7" s="53" t="s">
        <v>110</v>
      </c>
      <c r="B7" s="53" t="s">
        <v>309</v>
      </c>
      <c r="H7" s="53" t="s">
        <v>111</v>
      </c>
      <c r="I7" s="53" t="s">
        <v>329</v>
      </c>
      <c r="J7" s="53" t="s">
        <v>22</v>
      </c>
      <c r="K7" s="53" t="s">
        <v>112</v>
      </c>
    </row>
    <row r="8" spans="1:19">
      <c r="A8" s="53" t="s">
        <v>113</v>
      </c>
      <c r="B8" s="53" t="s">
        <v>113</v>
      </c>
      <c r="H8" s="53" t="s">
        <v>114</v>
      </c>
      <c r="I8" s="53" t="s">
        <v>330</v>
      </c>
      <c r="J8" s="53" t="s">
        <v>23</v>
      </c>
      <c r="K8" s="53" t="s">
        <v>115</v>
      </c>
    </row>
    <row r="9" spans="1:19">
      <c r="A9" s="53" t="s">
        <v>116</v>
      </c>
      <c r="B9" s="53" t="s">
        <v>310</v>
      </c>
      <c r="H9" s="53" t="s">
        <v>117</v>
      </c>
      <c r="I9" s="53" t="s">
        <v>118</v>
      </c>
      <c r="J9" s="53" t="s">
        <v>24</v>
      </c>
      <c r="K9" s="53" t="s">
        <v>119</v>
      </c>
    </row>
    <row r="10" spans="1:19">
      <c r="A10" s="53" t="s">
        <v>120</v>
      </c>
      <c r="B10" s="53" t="s">
        <v>311</v>
      </c>
      <c r="H10" s="53" t="s">
        <v>121</v>
      </c>
      <c r="I10" s="53" t="s">
        <v>122</v>
      </c>
      <c r="J10" s="53" t="s">
        <v>25</v>
      </c>
      <c r="K10" s="53" t="s">
        <v>123</v>
      </c>
    </row>
    <row r="11" spans="1:19">
      <c r="A11" s="53" t="s">
        <v>124</v>
      </c>
      <c r="B11" s="53" t="s">
        <v>312</v>
      </c>
      <c r="H11" s="53" t="s">
        <v>125</v>
      </c>
      <c r="I11" s="53" t="s">
        <v>126</v>
      </c>
      <c r="J11" s="53" t="s">
        <v>26</v>
      </c>
      <c r="K11" s="53" t="s">
        <v>127</v>
      </c>
    </row>
    <row r="12" spans="1:19">
      <c r="A12" s="53" t="s">
        <v>128</v>
      </c>
      <c r="B12" s="53" t="s">
        <v>313</v>
      </c>
      <c r="H12" s="53" t="s">
        <v>129</v>
      </c>
      <c r="I12" s="53" t="s">
        <v>130</v>
      </c>
      <c r="J12" s="53" t="s">
        <v>27</v>
      </c>
      <c r="K12" s="53" t="s">
        <v>131</v>
      </c>
    </row>
    <row r="13" spans="1:19">
      <c r="A13" s="53" t="s">
        <v>132</v>
      </c>
      <c r="B13" s="53" t="s">
        <v>314</v>
      </c>
      <c r="H13" s="53" t="s">
        <v>133</v>
      </c>
      <c r="I13" s="53" t="s">
        <v>134</v>
      </c>
      <c r="J13" s="53" t="s">
        <v>28</v>
      </c>
      <c r="K13" s="53" t="s">
        <v>135</v>
      </c>
    </row>
    <row r="14" spans="1:19">
      <c r="A14" s="53" t="s">
        <v>136</v>
      </c>
      <c r="B14" s="53" t="s">
        <v>315</v>
      </c>
      <c r="I14" s="53" t="s">
        <v>137</v>
      </c>
      <c r="J14" s="53" t="s">
        <v>29</v>
      </c>
      <c r="K14" s="53" t="s">
        <v>138</v>
      </c>
    </row>
    <row r="15" spans="1:19">
      <c r="A15" s="53" t="s">
        <v>399</v>
      </c>
      <c r="B15" s="53" t="s">
        <v>399</v>
      </c>
      <c r="I15" s="53" t="s">
        <v>139</v>
      </c>
      <c r="J15" s="53" t="s">
        <v>30</v>
      </c>
      <c r="K15" s="53" t="s">
        <v>140</v>
      </c>
    </row>
    <row r="16" spans="1:19">
      <c r="A16" s="53" t="s">
        <v>400</v>
      </c>
      <c r="B16" s="53" t="s">
        <v>400</v>
      </c>
      <c r="I16" s="53" t="s">
        <v>141</v>
      </c>
      <c r="K16" s="53" t="s">
        <v>142</v>
      </c>
    </row>
    <row r="17" spans="1:11">
      <c r="A17" s="53" t="s">
        <v>143</v>
      </c>
      <c r="B17" s="53" t="s">
        <v>143</v>
      </c>
      <c r="I17" s="53" t="s">
        <v>144</v>
      </c>
      <c r="K17" s="53" t="s">
        <v>145</v>
      </c>
    </row>
    <row r="18" spans="1:11">
      <c r="A18" s="53" t="s">
        <v>146</v>
      </c>
      <c r="B18" s="53" t="s">
        <v>146</v>
      </c>
      <c r="I18" s="53" t="s">
        <v>147</v>
      </c>
      <c r="K18" s="53" t="s">
        <v>148</v>
      </c>
    </row>
    <row r="19" spans="1:11">
      <c r="I19" s="53" t="s">
        <v>149</v>
      </c>
      <c r="K19" s="53" t="s">
        <v>150</v>
      </c>
    </row>
    <row r="20" spans="1:11">
      <c r="A20" s="53" t="s">
        <v>401</v>
      </c>
      <c r="B20" s="53" t="s">
        <v>401</v>
      </c>
      <c r="I20" s="53" t="s">
        <v>151</v>
      </c>
      <c r="K20" s="53" t="s">
        <v>152</v>
      </c>
    </row>
    <row r="21" spans="1:11">
      <c r="I21" s="53" t="s">
        <v>153</v>
      </c>
      <c r="K21" s="53" t="s">
        <v>154</v>
      </c>
    </row>
    <row r="22" spans="1:11">
      <c r="I22" s="53" t="s">
        <v>155</v>
      </c>
      <c r="K22" s="53" t="s">
        <v>411</v>
      </c>
    </row>
    <row r="23" spans="1:11">
      <c r="I23" s="53" t="s">
        <v>156</v>
      </c>
      <c r="K23" s="53" t="s">
        <v>157</v>
      </c>
    </row>
    <row r="24" spans="1:11">
      <c r="I24" s="53" t="s">
        <v>158</v>
      </c>
      <c r="K24" s="53" t="s">
        <v>159</v>
      </c>
    </row>
    <row r="25" spans="1:11">
      <c r="A25" s="53" t="s">
        <v>31</v>
      </c>
      <c r="B25" s="53"/>
      <c r="I25" s="53" t="s">
        <v>160</v>
      </c>
      <c r="K25" s="53" t="s">
        <v>161</v>
      </c>
    </row>
    <row r="26" spans="1:11">
      <c r="A26" s="53" t="s">
        <v>32</v>
      </c>
      <c r="B26" s="53"/>
      <c r="I26" s="53" t="s">
        <v>162</v>
      </c>
      <c r="K26" s="53" t="s">
        <v>72</v>
      </c>
    </row>
    <row r="27" spans="1:11">
      <c r="A27" s="53" t="s">
        <v>33</v>
      </c>
      <c r="B27" s="53"/>
      <c r="I27" s="53" t="s">
        <v>331</v>
      </c>
    </row>
    <row r="28" spans="1:11">
      <c r="A28" s="53" t="s">
        <v>34</v>
      </c>
      <c r="B28" s="53"/>
      <c r="I28" s="53" t="s">
        <v>332</v>
      </c>
      <c r="K28" s="53" t="s">
        <v>410</v>
      </c>
    </row>
    <row r="29" spans="1:11">
      <c r="A29" s="53" t="s">
        <v>35</v>
      </c>
      <c r="B29" s="53" t="s">
        <v>317</v>
      </c>
      <c r="I29" s="53" t="s">
        <v>333</v>
      </c>
    </row>
    <row r="30" spans="1:11">
      <c r="A30" s="53" t="s">
        <v>397</v>
      </c>
      <c r="I30" s="53" t="s">
        <v>163</v>
      </c>
    </row>
    <row r="31" spans="1:11">
      <c r="A31" s="53" t="s">
        <v>36</v>
      </c>
      <c r="B31" s="53"/>
      <c r="I31" s="53" t="s">
        <v>164</v>
      </c>
    </row>
    <row r="32" spans="1:11">
      <c r="A32" s="53" t="s">
        <v>37</v>
      </c>
      <c r="B32" s="53"/>
      <c r="I32" s="53" t="s">
        <v>165</v>
      </c>
    </row>
    <row r="33" spans="1:9">
      <c r="A33" s="53" t="s">
        <v>38</v>
      </c>
      <c r="B33" s="53"/>
      <c r="I33" s="53" t="s">
        <v>166</v>
      </c>
    </row>
    <row r="34" spans="1:9">
      <c r="A34" s="53" t="s">
        <v>31</v>
      </c>
      <c r="B34" s="53"/>
      <c r="I34" s="53" t="s">
        <v>167</v>
      </c>
    </row>
    <row r="35" spans="1:9">
      <c r="A35" s="53" t="s">
        <v>39</v>
      </c>
      <c r="B35" s="53"/>
      <c r="I35" s="53" t="s">
        <v>168</v>
      </c>
    </row>
    <row r="36" spans="1:9">
      <c r="A36" s="53" t="s">
        <v>40</v>
      </c>
      <c r="B36" s="53"/>
      <c r="I36" s="53" t="s">
        <v>169</v>
      </c>
    </row>
    <row r="37" spans="1:9">
      <c r="A37" s="53" t="s">
        <v>41</v>
      </c>
      <c r="B37" s="53" t="s">
        <v>318</v>
      </c>
      <c r="I37" s="53" t="s">
        <v>170</v>
      </c>
    </row>
    <row r="38" spans="1:9">
      <c r="A38" s="53" t="s">
        <v>398</v>
      </c>
      <c r="B38" s="53"/>
      <c r="I38" s="53" t="s">
        <v>171</v>
      </c>
    </row>
    <row r="39" spans="1:9">
      <c r="A39" s="53" t="s">
        <v>42</v>
      </c>
      <c r="B39" s="53"/>
      <c r="I39" s="53" t="s">
        <v>172</v>
      </c>
    </row>
    <row r="40" spans="1:9">
      <c r="A40" s="53" t="s">
        <v>43</v>
      </c>
      <c r="B40" s="53"/>
      <c r="I40" s="53" t="s">
        <v>173</v>
      </c>
    </row>
    <row r="41" spans="1:9">
      <c r="A41" s="53" t="s">
        <v>44</v>
      </c>
      <c r="B41" s="53"/>
      <c r="I41" s="53" t="s">
        <v>174</v>
      </c>
    </row>
    <row r="42" spans="1:9">
      <c r="A42" s="53" t="s">
        <v>399</v>
      </c>
      <c r="B42" s="53"/>
      <c r="I42" s="53" t="s">
        <v>175</v>
      </c>
    </row>
    <row r="43" spans="1:9">
      <c r="A43" s="53" t="s">
        <v>45</v>
      </c>
      <c r="B43" s="53"/>
      <c r="I43" s="53" t="s">
        <v>176</v>
      </c>
    </row>
    <row r="44" spans="1:9">
      <c r="A44" s="53" t="s">
        <v>46</v>
      </c>
      <c r="B44" s="53"/>
      <c r="I44" s="53" t="s">
        <v>177</v>
      </c>
    </row>
    <row r="45" spans="1:9">
      <c r="A45" s="53" t="s">
        <v>47</v>
      </c>
      <c r="B45" s="53"/>
      <c r="I45" s="53" t="s">
        <v>178</v>
      </c>
    </row>
    <row r="46" spans="1:9">
      <c r="A46" s="53" t="s">
        <v>179</v>
      </c>
      <c r="B46" s="53"/>
      <c r="I46" s="53" t="s">
        <v>180</v>
      </c>
    </row>
    <row r="47" spans="1:9">
      <c r="A47" s="53" t="s">
        <v>48</v>
      </c>
      <c r="B47" s="53"/>
      <c r="I47" s="53" t="s">
        <v>181</v>
      </c>
    </row>
    <row r="48" spans="1:9">
      <c r="A48" s="53" t="s">
        <v>42</v>
      </c>
      <c r="B48" s="53"/>
      <c r="I48" s="53" t="s">
        <v>182</v>
      </c>
    </row>
    <row r="49" spans="1:9">
      <c r="A49" s="53" t="s">
        <v>183</v>
      </c>
      <c r="B49" s="53" t="s">
        <v>183</v>
      </c>
      <c r="I49" s="53" t="s">
        <v>184</v>
      </c>
    </row>
    <row r="50" spans="1:9">
      <c r="A50" s="53" t="s">
        <v>49</v>
      </c>
      <c r="B50" s="53" t="s">
        <v>49</v>
      </c>
      <c r="I50" s="53" t="s">
        <v>185</v>
      </c>
    </row>
    <row r="51" spans="1:9">
      <c r="A51" s="53" t="s">
        <v>50</v>
      </c>
      <c r="B51" s="53" t="s">
        <v>50</v>
      </c>
      <c r="I51" s="53" t="s">
        <v>186</v>
      </c>
    </row>
    <row r="52" spans="1:9">
      <c r="A52" s="53" t="s">
        <v>51</v>
      </c>
      <c r="B52" s="53" t="s">
        <v>51</v>
      </c>
      <c r="I52" s="53" t="s">
        <v>187</v>
      </c>
    </row>
    <row r="53" spans="1:9">
      <c r="A53" s="53" t="s">
        <v>52</v>
      </c>
      <c r="B53" s="53" t="s">
        <v>52</v>
      </c>
      <c r="I53" s="53" t="s">
        <v>188</v>
      </c>
    </row>
    <row r="54" spans="1:9">
      <c r="A54" s="53" t="s">
        <v>400</v>
      </c>
      <c r="B54" s="53" t="s">
        <v>400</v>
      </c>
      <c r="I54" s="53" t="s">
        <v>189</v>
      </c>
    </row>
    <row r="55" spans="1:9">
      <c r="A55" s="53" t="s">
        <v>53</v>
      </c>
      <c r="B55" s="53" t="s">
        <v>53</v>
      </c>
      <c r="I55" s="53" t="s">
        <v>190</v>
      </c>
    </row>
    <row r="56" spans="1:9">
      <c r="A56" s="53" t="s">
        <v>54</v>
      </c>
      <c r="B56" s="53" t="s">
        <v>54</v>
      </c>
      <c r="I56" s="53" t="s">
        <v>191</v>
      </c>
    </row>
    <row r="57" spans="1:9">
      <c r="A57" s="53" t="s">
        <v>55</v>
      </c>
      <c r="B57" s="53" t="s">
        <v>55</v>
      </c>
      <c r="I57" s="53" t="s">
        <v>192</v>
      </c>
    </row>
    <row r="58" spans="1:9">
      <c r="A58" s="53" t="s">
        <v>193</v>
      </c>
      <c r="B58" s="53" t="s">
        <v>193</v>
      </c>
      <c r="I58" s="53" t="s">
        <v>194</v>
      </c>
    </row>
    <row r="59" spans="1:9">
      <c r="A59" s="53" t="s">
        <v>56</v>
      </c>
      <c r="B59" s="53" t="s">
        <v>56</v>
      </c>
      <c r="I59" s="53" t="s">
        <v>195</v>
      </c>
    </row>
    <row r="60" spans="1:9">
      <c r="A60" s="53" t="s">
        <v>57</v>
      </c>
      <c r="B60" s="53" t="s">
        <v>57</v>
      </c>
      <c r="I60" s="53" t="s">
        <v>196</v>
      </c>
    </row>
    <row r="61" spans="1:9">
      <c r="A61" s="53" t="s">
        <v>197</v>
      </c>
      <c r="B61" s="53" t="s">
        <v>197</v>
      </c>
      <c r="I61" s="53" t="s">
        <v>198</v>
      </c>
    </row>
    <row r="62" spans="1:9">
      <c r="A62" s="53" t="s">
        <v>58</v>
      </c>
      <c r="B62" s="53" t="s">
        <v>58</v>
      </c>
      <c r="I62" s="53" t="s">
        <v>199</v>
      </c>
    </row>
    <row r="63" spans="1:9">
      <c r="A63" s="53" t="s">
        <v>59</v>
      </c>
      <c r="B63" s="53" t="s">
        <v>59</v>
      </c>
      <c r="I63" s="53" t="s">
        <v>200</v>
      </c>
    </row>
    <row r="64" spans="1:9">
      <c r="A64" s="53" t="s">
        <v>60</v>
      </c>
      <c r="B64" s="53" t="s">
        <v>60</v>
      </c>
      <c r="I64" s="53" t="s">
        <v>201</v>
      </c>
    </row>
    <row r="65" spans="1:9">
      <c r="A65" s="53" t="s">
        <v>61</v>
      </c>
      <c r="B65" s="53" t="s">
        <v>61</v>
      </c>
      <c r="I65" s="53" t="s">
        <v>202</v>
      </c>
    </row>
    <row r="66" spans="1:9">
      <c r="A66" s="53" t="s">
        <v>50</v>
      </c>
      <c r="B66" s="53" t="s">
        <v>50</v>
      </c>
      <c r="I66" s="53" t="s">
        <v>203</v>
      </c>
    </row>
    <row r="67" spans="1:9">
      <c r="A67" s="53" t="s">
        <v>204</v>
      </c>
      <c r="B67" s="53" t="s">
        <v>204</v>
      </c>
      <c r="I67" s="53" t="s">
        <v>205</v>
      </c>
    </row>
    <row r="68" spans="1:9">
      <c r="A68" s="53" t="s">
        <v>62</v>
      </c>
      <c r="B68" s="53" t="s">
        <v>62</v>
      </c>
      <c r="I68" s="53" t="s">
        <v>206</v>
      </c>
    </row>
    <row r="69" spans="1:9">
      <c r="A69" s="53" t="s">
        <v>207</v>
      </c>
      <c r="B69" s="53" t="s">
        <v>207</v>
      </c>
      <c r="I69" s="53" t="s">
        <v>208</v>
      </c>
    </row>
    <row r="70" spans="1:9">
      <c r="A70" s="53" t="s">
        <v>209</v>
      </c>
      <c r="B70" s="53" t="s">
        <v>209</v>
      </c>
      <c r="I70" s="53" t="s">
        <v>210</v>
      </c>
    </row>
    <row r="71" spans="1:9">
      <c r="A71" s="53" t="s">
        <v>211</v>
      </c>
      <c r="B71" s="53" t="s">
        <v>211</v>
      </c>
      <c r="I71" s="53" t="s">
        <v>212</v>
      </c>
    </row>
    <row r="72" spans="1:9">
      <c r="A72" s="53" t="s">
        <v>213</v>
      </c>
      <c r="B72" s="53" t="s">
        <v>213</v>
      </c>
      <c r="I72" s="53" t="s">
        <v>214</v>
      </c>
    </row>
    <row r="73" spans="1:9">
      <c r="A73" s="53" t="s">
        <v>63</v>
      </c>
      <c r="B73" s="53" t="s">
        <v>63</v>
      </c>
      <c r="I73" s="53" t="s">
        <v>215</v>
      </c>
    </row>
    <row r="74" spans="1:9">
      <c r="A74" s="53" t="s">
        <v>64</v>
      </c>
      <c r="B74" s="53" t="s">
        <v>64</v>
      </c>
      <c r="I74" s="53" t="s">
        <v>216</v>
      </c>
    </row>
    <row r="75" spans="1:9">
      <c r="A75" s="53" t="s">
        <v>65</v>
      </c>
      <c r="B75" s="53" t="s">
        <v>65</v>
      </c>
      <c r="I75" s="53" t="s">
        <v>217</v>
      </c>
    </row>
    <row r="76" spans="1:9">
      <c r="A76" s="53" t="s">
        <v>218</v>
      </c>
      <c r="B76" s="53" t="s">
        <v>218</v>
      </c>
      <c r="I76" s="53" t="s">
        <v>219</v>
      </c>
    </row>
    <row r="77" spans="1:9">
      <c r="A77" s="53" t="s">
        <v>66</v>
      </c>
      <c r="B77" s="53" t="s">
        <v>66</v>
      </c>
      <c r="I77" s="53" t="s">
        <v>220</v>
      </c>
    </row>
    <row r="78" spans="1:9">
      <c r="A78" s="53" t="s">
        <v>67</v>
      </c>
      <c r="B78" s="53" t="s">
        <v>67</v>
      </c>
      <c r="I78" s="53" t="s">
        <v>221</v>
      </c>
    </row>
    <row r="79" spans="1:9">
      <c r="A79" s="53" t="s">
        <v>68</v>
      </c>
      <c r="B79" s="53" t="s">
        <v>68</v>
      </c>
      <c r="I79" s="53" t="s">
        <v>222</v>
      </c>
    </row>
    <row r="80" spans="1:9">
      <c r="A80" s="53" t="s">
        <v>223</v>
      </c>
      <c r="B80" s="53" t="s">
        <v>69</v>
      </c>
      <c r="I80" s="53" t="s">
        <v>224</v>
      </c>
    </row>
    <row r="81" spans="1:9">
      <c r="A81" s="53" t="s">
        <v>69</v>
      </c>
      <c r="B81" s="53" t="s">
        <v>70</v>
      </c>
      <c r="I81" s="53" t="s">
        <v>225</v>
      </c>
    </row>
    <row r="82" spans="1:9">
      <c r="A82" s="53" t="s">
        <v>70</v>
      </c>
      <c r="B82" s="53" t="s">
        <v>71</v>
      </c>
      <c r="I82" s="53" t="s">
        <v>226</v>
      </c>
    </row>
    <row r="83" spans="1:9">
      <c r="A83" s="53" t="s">
        <v>71</v>
      </c>
      <c r="B83" s="53" t="s">
        <v>319</v>
      </c>
      <c r="I83" s="53" t="s">
        <v>227</v>
      </c>
    </row>
    <row r="84" spans="1:9">
      <c r="A84" s="53" t="s">
        <v>51</v>
      </c>
      <c r="B84" s="53" t="s">
        <v>51</v>
      </c>
      <c r="I84" s="53" t="s">
        <v>228</v>
      </c>
    </row>
    <row r="85" spans="1:9">
      <c r="I85" s="53" t="s">
        <v>229</v>
      </c>
    </row>
    <row r="86" spans="1:9">
      <c r="I86" s="53" t="s">
        <v>230</v>
      </c>
    </row>
    <row r="87" spans="1:9">
      <c r="I87" s="53" t="s">
        <v>231</v>
      </c>
    </row>
    <row r="88" spans="1:9">
      <c r="I88" s="53" t="s">
        <v>232</v>
      </c>
    </row>
    <row r="89" spans="1:9">
      <c r="I89" s="53" t="s">
        <v>334</v>
      </c>
    </row>
    <row r="90" spans="1:9">
      <c r="I90" s="53" t="s">
        <v>335</v>
      </c>
    </row>
    <row r="91" spans="1:9">
      <c r="I91" s="53" t="s">
        <v>336</v>
      </c>
    </row>
    <row r="92" spans="1:9">
      <c r="I92" s="53" t="s">
        <v>337</v>
      </c>
    </row>
    <row r="93" spans="1:9">
      <c r="I93" s="53" t="s">
        <v>338</v>
      </c>
    </row>
    <row r="94" spans="1:9">
      <c r="I94" s="53" t="s">
        <v>233</v>
      </c>
    </row>
    <row r="95" spans="1:9">
      <c r="I95" s="53" t="s">
        <v>234</v>
      </c>
    </row>
    <row r="96" spans="1:9">
      <c r="I96" s="53" t="s">
        <v>235</v>
      </c>
    </row>
    <row r="97" spans="9:9">
      <c r="I97" s="53" t="s">
        <v>236</v>
      </c>
    </row>
    <row r="98" spans="9:9">
      <c r="I98" s="53" t="s">
        <v>237</v>
      </c>
    </row>
    <row r="99" spans="9:9">
      <c r="I99" s="53" t="s">
        <v>238</v>
      </c>
    </row>
    <row r="100" spans="9:9">
      <c r="I100" s="53" t="s">
        <v>239</v>
      </c>
    </row>
    <row r="101" spans="9:9">
      <c r="I101" s="53" t="s">
        <v>240</v>
      </c>
    </row>
    <row r="102" spans="9:9">
      <c r="I102" s="53" t="s">
        <v>339</v>
      </c>
    </row>
    <row r="103" spans="9:9">
      <c r="I103" s="53" t="s">
        <v>340</v>
      </c>
    </row>
    <row r="104" spans="9:9">
      <c r="I104" s="53" t="s">
        <v>341</v>
      </c>
    </row>
    <row r="105" spans="9:9">
      <c r="I105" s="53" t="s">
        <v>342</v>
      </c>
    </row>
    <row r="106" spans="9:9">
      <c r="I106" s="53" t="s">
        <v>241</v>
      </c>
    </row>
    <row r="107" spans="9:9">
      <c r="I107" s="53" t="s">
        <v>242</v>
      </c>
    </row>
    <row r="108" spans="9:9">
      <c r="I108" s="53" t="s">
        <v>243</v>
      </c>
    </row>
    <row r="109" spans="9:9">
      <c r="I109" s="53" t="s">
        <v>244</v>
      </c>
    </row>
    <row r="110" spans="9:9">
      <c r="I110" s="53" t="s">
        <v>245</v>
      </c>
    </row>
    <row r="111" spans="9:9">
      <c r="I111" s="53" t="s">
        <v>343</v>
      </c>
    </row>
    <row r="112" spans="9:9">
      <c r="I112" s="53" t="s">
        <v>344</v>
      </c>
    </row>
    <row r="113" spans="9:9">
      <c r="I113" s="53" t="s">
        <v>345</v>
      </c>
    </row>
    <row r="114" spans="9:9">
      <c r="I114" s="53" t="s">
        <v>346</v>
      </c>
    </row>
    <row r="115" spans="9:9">
      <c r="I115" s="53" t="s">
        <v>347</v>
      </c>
    </row>
    <row r="116" spans="9:9">
      <c r="I116" s="53" t="s">
        <v>348</v>
      </c>
    </row>
    <row r="117" spans="9:9">
      <c r="I117" s="53" t="s">
        <v>246</v>
      </c>
    </row>
    <row r="118" spans="9:9">
      <c r="I118" s="53" t="s">
        <v>247</v>
      </c>
    </row>
    <row r="119" spans="9:9">
      <c r="I119" s="53" t="s">
        <v>248</v>
      </c>
    </row>
    <row r="120" spans="9:9">
      <c r="I120" s="53" t="s">
        <v>249</v>
      </c>
    </row>
    <row r="121" spans="9:9">
      <c r="I121" s="53" t="s">
        <v>250</v>
      </c>
    </row>
    <row r="122" spans="9:9">
      <c r="I122" s="53" t="s">
        <v>251</v>
      </c>
    </row>
    <row r="123" spans="9:9">
      <c r="I123" s="53" t="s">
        <v>252</v>
      </c>
    </row>
    <row r="124" spans="9:9">
      <c r="I124" s="53" t="s">
        <v>253</v>
      </c>
    </row>
    <row r="125" spans="9:9">
      <c r="I125" s="53" t="s">
        <v>254</v>
      </c>
    </row>
    <row r="126" spans="9:9">
      <c r="I126" s="53" t="s">
        <v>255</v>
      </c>
    </row>
    <row r="127" spans="9:9">
      <c r="I127" s="53" t="s">
        <v>256</v>
      </c>
    </row>
    <row r="128" spans="9:9">
      <c r="I128" s="53" t="s">
        <v>257</v>
      </c>
    </row>
    <row r="129" spans="9:9">
      <c r="I129" s="53" t="s">
        <v>258</v>
      </c>
    </row>
    <row r="130" spans="9:9">
      <c r="I130" s="53" t="s">
        <v>259</v>
      </c>
    </row>
    <row r="131" spans="9:9">
      <c r="I131" s="53" t="s">
        <v>260</v>
      </c>
    </row>
    <row r="132" spans="9:9">
      <c r="I132" s="53" t="s">
        <v>261</v>
      </c>
    </row>
    <row r="133" spans="9:9">
      <c r="I133" s="53" t="s">
        <v>262</v>
      </c>
    </row>
    <row r="134" spans="9:9">
      <c r="I134" s="53" t="s">
        <v>263</v>
      </c>
    </row>
    <row r="135" spans="9:9">
      <c r="I135" s="53" t="s">
        <v>264</v>
      </c>
    </row>
    <row r="136" spans="9:9">
      <c r="I136" s="53" t="s">
        <v>265</v>
      </c>
    </row>
    <row r="137" spans="9:9">
      <c r="I137" s="53" t="s">
        <v>266</v>
      </c>
    </row>
    <row r="138" spans="9:9">
      <c r="I138" s="53" t="s">
        <v>267</v>
      </c>
    </row>
    <row r="139" spans="9:9">
      <c r="I139" s="53" t="s">
        <v>268</v>
      </c>
    </row>
    <row r="140" spans="9:9">
      <c r="I140" s="53" t="s">
        <v>269</v>
      </c>
    </row>
    <row r="141" spans="9:9">
      <c r="I141" s="53" t="s">
        <v>270</v>
      </c>
    </row>
    <row r="142" spans="9:9">
      <c r="I142" s="53" t="s">
        <v>271</v>
      </c>
    </row>
    <row r="143" spans="9:9">
      <c r="I143" s="53" t="s">
        <v>349</v>
      </c>
    </row>
    <row r="144" spans="9:9">
      <c r="I144" s="53" t="s">
        <v>272</v>
      </c>
    </row>
    <row r="145" spans="9:9">
      <c r="I145" s="53" t="s">
        <v>273</v>
      </c>
    </row>
    <row r="146" spans="9:9">
      <c r="I146" s="53" t="s">
        <v>274</v>
      </c>
    </row>
    <row r="147" spans="9:9">
      <c r="I147" s="53" t="s">
        <v>275</v>
      </c>
    </row>
    <row r="148" spans="9:9">
      <c r="I148" s="53" t="s">
        <v>350</v>
      </c>
    </row>
    <row r="149" spans="9:9">
      <c r="I149" s="53" t="s">
        <v>276</v>
      </c>
    </row>
    <row r="150" spans="9:9">
      <c r="I150" s="53" t="s">
        <v>277</v>
      </c>
    </row>
    <row r="151" spans="9:9">
      <c r="I151" s="53" t="s">
        <v>278</v>
      </c>
    </row>
    <row r="152" spans="9:9">
      <c r="I152" s="53" t="s">
        <v>279</v>
      </c>
    </row>
    <row r="153" spans="9:9">
      <c r="I153" s="53" t="s">
        <v>280</v>
      </c>
    </row>
    <row r="154" spans="9:9">
      <c r="I154" s="53" t="s">
        <v>281</v>
      </c>
    </row>
    <row r="155" spans="9:9">
      <c r="I155" s="53" t="s">
        <v>282</v>
      </c>
    </row>
    <row r="156" spans="9:9">
      <c r="I156" s="53" t="s">
        <v>283</v>
      </c>
    </row>
    <row r="157" spans="9:9">
      <c r="I157" s="53" t="s">
        <v>284</v>
      </c>
    </row>
    <row r="158" spans="9:9">
      <c r="I158" s="53" t="s">
        <v>285</v>
      </c>
    </row>
    <row r="159" spans="9:9">
      <c r="I159" s="53" t="s">
        <v>286</v>
      </c>
    </row>
    <row r="160" spans="9:9">
      <c r="I160" s="53" t="s">
        <v>287</v>
      </c>
    </row>
    <row r="161" spans="9:9">
      <c r="I161" s="53" t="s">
        <v>288</v>
      </c>
    </row>
    <row r="162" spans="9:9">
      <c r="I162" s="53" t="s">
        <v>289</v>
      </c>
    </row>
    <row r="163" spans="9:9">
      <c r="I163" s="53" t="s">
        <v>290</v>
      </c>
    </row>
    <row r="164" spans="9:9">
      <c r="I164" s="53" t="s">
        <v>291</v>
      </c>
    </row>
    <row r="165" spans="9:9">
      <c r="I165" s="53" t="s">
        <v>351</v>
      </c>
    </row>
    <row r="166" spans="9:9">
      <c r="I166" s="53" t="s">
        <v>352</v>
      </c>
    </row>
    <row r="167" spans="9:9">
      <c r="I167" s="53" t="s">
        <v>292</v>
      </c>
    </row>
    <row r="168" spans="9:9">
      <c r="I168" s="53" t="s">
        <v>293</v>
      </c>
    </row>
    <row r="169" spans="9:9">
      <c r="I169" s="53" t="s">
        <v>294</v>
      </c>
    </row>
    <row r="170" spans="9:9">
      <c r="I170" s="53" t="s">
        <v>295</v>
      </c>
    </row>
    <row r="171" spans="9:9">
      <c r="I171" s="53" t="s">
        <v>296</v>
      </c>
    </row>
    <row r="172" spans="9:9">
      <c r="I172" s="53" t="s">
        <v>353</v>
      </c>
    </row>
    <row r="173" spans="9:9">
      <c r="I173" s="53" t="s">
        <v>354</v>
      </c>
    </row>
    <row r="174" spans="9:9">
      <c r="I174" s="53" t="s">
        <v>355</v>
      </c>
    </row>
    <row r="175" spans="9:9">
      <c r="I175" s="53" t="s">
        <v>356</v>
      </c>
    </row>
    <row r="176" spans="9:9">
      <c r="I176" s="53" t="s">
        <v>297</v>
      </c>
    </row>
    <row r="177" spans="9:9">
      <c r="I177" s="53" t="s">
        <v>298</v>
      </c>
    </row>
    <row r="178" spans="9:9">
      <c r="I178" s="53" t="s">
        <v>357</v>
      </c>
    </row>
    <row r="179" spans="9:9">
      <c r="I179" s="53" t="s">
        <v>358</v>
      </c>
    </row>
    <row r="180" spans="9:9">
      <c r="I180" s="53" t="s">
        <v>299</v>
      </c>
    </row>
    <row r="181" spans="9:9">
      <c r="I181" s="53" t="s">
        <v>359</v>
      </c>
    </row>
    <row r="182" spans="9:9">
      <c r="I182" s="53" t="s">
        <v>360</v>
      </c>
    </row>
    <row r="183" spans="9:9">
      <c r="I183" s="53" t="s">
        <v>300</v>
      </c>
    </row>
    <row r="184" spans="9:9">
      <c r="I184" s="53" t="s">
        <v>361</v>
      </c>
    </row>
    <row r="185" spans="9:9">
      <c r="I185" s="53" t="s">
        <v>362</v>
      </c>
    </row>
    <row r="186" spans="9:9">
      <c r="I186" s="53" t="s">
        <v>363</v>
      </c>
    </row>
    <row r="187" spans="9:9">
      <c r="I187" s="53" t="s">
        <v>364</v>
      </c>
    </row>
    <row r="188" spans="9:9">
      <c r="I188" s="53" t="s">
        <v>301</v>
      </c>
    </row>
    <row r="189" spans="9:9">
      <c r="I189" s="53" t="s">
        <v>365</v>
      </c>
    </row>
    <row r="190" spans="9:9">
      <c r="I190" s="53" t="s">
        <v>366</v>
      </c>
    </row>
    <row r="191" spans="9:9">
      <c r="I191" s="53" t="s">
        <v>367</v>
      </c>
    </row>
    <row r="192" spans="9:9">
      <c r="I192" s="53" t="s">
        <v>368</v>
      </c>
    </row>
    <row r="193" spans="9:9">
      <c r="I193" s="53" t="s">
        <v>369</v>
      </c>
    </row>
    <row r="194" spans="9:9">
      <c r="I194" s="53" t="s">
        <v>370</v>
      </c>
    </row>
    <row r="195" spans="9:9">
      <c r="I195" s="53" t="s">
        <v>371</v>
      </c>
    </row>
    <row r="196" spans="9:9">
      <c r="I196" s="53" t="s">
        <v>402</v>
      </c>
    </row>
    <row r="197" spans="9:9">
      <c r="I197" s="53" t="s">
        <v>396</v>
      </c>
    </row>
    <row r="198" spans="9:9">
      <c r="I198" s="53" t="s">
        <v>372</v>
      </c>
    </row>
    <row r="199" spans="9:9">
      <c r="I199" s="53" t="s">
        <v>373</v>
      </c>
    </row>
    <row r="200" spans="9:9">
      <c r="I200" s="53" t="s">
        <v>408</v>
      </c>
    </row>
    <row r="201" spans="9:9">
      <c r="I201" s="53" t="s">
        <v>7</v>
      </c>
    </row>
    <row r="202" spans="9:9">
      <c r="I202" s="53" t="s">
        <v>374</v>
      </c>
    </row>
  </sheetData>
  <phoneticPr fontId="1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7"/>
  <sheetViews>
    <sheetView tabSelected="1" view="pageBreakPreview" zoomScaleNormal="100" zoomScaleSheetLayoutView="100" workbookViewId="0"/>
  </sheetViews>
  <sheetFormatPr defaultColWidth="11.453125" defaultRowHeight="12.5"/>
  <cols>
    <col min="1" max="1" width="69.179687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484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81" t="s">
        <v>527</v>
      </c>
      <c r="B4" s="175">
        <v>31551</v>
      </c>
      <c r="C4" s="175">
        <v>34000</v>
      </c>
      <c r="D4" s="175">
        <v>35000</v>
      </c>
      <c r="E4" s="175">
        <v>38000</v>
      </c>
      <c r="F4" s="175">
        <v>37000</v>
      </c>
      <c r="G4" s="175">
        <v>31000</v>
      </c>
      <c r="H4" s="175">
        <v>21000</v>
      </c>
      <c r="I4" s="175">
        <v>20500</v>
      </c>
    </row>
    <row r="5" spans="1:16384" ht="18" customHeight="1">
      <c r="A5" s="181" t="s">
        <v>487</v>
      </c>
      <c r="B5" s="175">
        <v>34</v>
      </c>
      <c r="C5" s="172">
        <v>34</v>
      </c>
      <c r="D5" s="172">
        <v>36</v>
      </c>
      <c r="E5" s="172">
        <v>36</v>
      </c>
      <c r="F5" s="172">
        <v>33</v>
      </c>
      <c r="G5" s="172">
        <v>36</v>
      </c>
      <c r="H5" s="172">
        <v>37</v>
      </c>
      <c r="I5" s="172">
        <v>37</v>
      </c>
    </row>
    <row r="6" spans="1:16384" ht="18" customHeight="1">
      <c r="A6" s="181" t="s">
        <v>488</v>
      </c>
      <c r="B6" s="172">
        <v>23</v>
      </c>
      <c r="C6" s="172">
        <v>21</v>
      </c>
      <c r="D6" s="172">
        <v>21</v>
      </c>
      <c r="E6" s="172">
        <v>22</v>
      </c>
      <c r="F6" s="172">
        <v>23</v>
      </c>
      <c r="G6" s="172">
        <v>26</v>
      </c>
      <c r="H6" s="172">
        <v>28</v>
      </c>
      <c r="I6" s="172">
        <v>30</v>
      </c>
    </row>
    <row r="7" spans="1:16384" ht="18" customHeight="1">
      <c r="A7" s="182" t="s">
        <v>483</v>
      </c>
      <c r="B7" s="175">
        <v>3871</v>
      </c>
      <c r="C7" s="175" t="s">
        <v>510</v>
      </c>
      <c r="D7" s="175">
        <v>4829</v>
      </c>
      <c r="E7" s="175">
        <v>5817</v>
      </c>
      <c r="F7" s="175">
        <v>8365</v>
      </c>
      <c r="G7" s="175">
        <v>11503</v>
      </c>
      <c r="H7" s="175">
        <v>3969</v>
      </c>
      <c r="I7" s="175">
        <v>3382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65"/>
      <c r="C9" s="165"/>
      <c r="D9" s="165"/>
      <c r="E9" s="165"/>
      <c r="F9" s="165"/>
      <c r="G9" s="165"/>
      <c r="H9" s="165"/>
      <c r="I9" s="165"/>
    </row>
    <row r="10" spans="1:16384" ht="18" customHeight="1">
      <c r="A10" s="181" t="s">
        <v>490</v>
      </c>
      <c r="B10" s="172">
        <v>0</v>
      </c>
      <c r="C10" s="172">
        <v>0</v>
      </c>
      <c r="D10" s="172" t="s">
        <v>485</v>
      </c>
      <c r="E10" s="172">
        <v>0</v>
      </c>
      <c r="F10" s="172">
        <v>3</v>
      </c>
      <c r="G10" s="172">
        <v>0</v>
      </c>
      <c r="H10" s="172">
        <v>0</v>
      </c>
      <c r="I10" s="172">
        <v>0</v>
      </c>
    </row>
    <row r="11" spans="1:16384" ht="18" customHeight="1">
      <c r="A11" s="181" t="s">
        <v>515</v>
      </c>
      <c r="B11" s="175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81" t="s">
        <v>507</v>
      </c>
      <c r="B12" s="173">
        <v>0.3</v>
      </c>
      <c r="C12" s="173">
        <v>0.3</v>
      </c>
      <c r="D12" s="173">
        <v>0.36</v>
      </c>
      <c r="E12" s="173">
        <v>0.19</v>
      </c>
      <c r="F12" s="173">
        <v>0.34</v>
      </c>
      <c r="G12" s="173">
        <v>0.23</v>
      </c>
      <c r="H12" s="173">
        <v>0.22</v>
      </c>
      <c r="I12" s="173" t="s">
        <v>525</v>
      </c>
    </row>
    <row r="13" spans="1:16384" ht="21" customHeight="1">
      <c r="A13" s="181" t="s">
        <v>506</v>
      </c>
      <c r="B13" s="173">
        <v>2</v>
      </c>
      <c r="C13" s="173">
        <v>1.7</v>
      </c>
      <c r="D13" s="174">
        <v>1.5</v>
      </c>
      <c r="E13" s="173">
        <v>1.45</v>
      </c>
      <c r="F13" s="173">
        <v>1.61</v>
      </c>
      <c r="G13" s="173">
        <v>1.84</v>
      </c>
      <c r="H13" s="173">
        <v>1.82</v>
      </c>
      <c r="I13" s="173">
        <v>1.85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77"/>
      <c r="G15" s="177"/>
      <c r="H15" s="177"/>
      <c r="I15" s="177"/>
    </row>
    <row r="16" spans="1:16384" ht="18" customHeight="1">
      <c r="A16" s="183" t="s">
        <v>494</v>
      </c>
      <c r="B16" s="175" t="s">
        <v>510</v>
      </c>
      <c r="C16" s="175" t="s">
        <v>510</v>
      </c>
      <c r="D16" s="175" t="s">
        <v>510</v>
      </c>
      <c r="E16" s="175">
        <v>32926</v>
      </c>
      <c r="F16" s="175">
        <v>35231</v>
      </c>
      <c r="G16" s="175">
        <v>23660</v>
      </c>
      <c r="H16" s="175">
        <v>20028</v>
      </c>
      <c r="I16" s="175">
        <v>25000</v>
      </c>
    </row>
    <row r="17" spans="1:9" ht="18" customHeight="1">
      <c r="A17" s="181" t="s">
        <v>476</v>
      </c>
      <c r="B17" s="175">
        <v>2230</v>
      </c>
      <c r="C17" s="175">
        <v>1999</v>
      </c>
      <c r="D17" s="175">
        <v>5292</v>
      </c>
      <c r="E17" s="175">
        <v>7924</v>
      </c>
      <c r="F17" s="175">
        <v>8518</v>
      </c>
      <c r="G17" s="175">
        <v>5000</v>
      </c>
      <c r="H17" s="175">
        <v>3515</v>
      </c>
      <c r="I17" s="175">
        <v>3616</v>
      </c>
    </row>
    <row r="18" spans="1:9" ht="18" customHeight="1">
      <c r="A18" s="181" t="s">
        <v>519</v>
      </c>
      <c r="B18" s="175">
        <v>7</v>
      </c>
      <c r="C18" s="175">
        <v>2</v>
      </c>
      <c r="D18" s="175">
        <v>4</v>
      </c>
      <c r="E18" s="175">
        <v>18</v>
      </c>
      <c r="F18" s="175">
        <v>13</v>
      </c>
      <c r="G18" s="175">
        <v>7</v>
      </c>
      <c r="H18" s="175">
        <v>4</v>
      </c>
      <c r="I18" s="175">
        <v>5</v>
      </c>
    </row>
    <row r="19" spans="1:9" ht="18" customHeight="1">
      <c r="A19" s="183" t="s">
        <v>493</v>
      </c>
      <c r="B19" s="175">
        <v>56</v>
      </c>
      <c r="C19" s="175">
        <v>53</v>
      </c>
      <c r="D19" s="175">
        <v>60</v>
      </c>
      <c r="E19" s="175">
        <v>30</v>
      </c>
      <c r="F19" s="175">
        <v>71</v>
      </c>
      <c r="G19" s="175">
        <v>61</v>
      </c>
      <c r="H19" s="175">
        <v>82</v>
      </c>
      <c r="I19" s="175">
        <v>72</v>
      </c>
    </row>
    <row r="20" spans="1:9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9" ht="18" customHeight="1">
      <c r="A21" s="164" t="s">
        <v>477</v>
      </c>
      <c r="B21" s="164"/>
      <c r="C21" s="164"/>
      <c r="D21" s="164"/>
      <c r="E21" s="164"/>
      <c r="F21" s="177"/>
      <c r="G21" s="177"/>
      <c r="H21" s="177"/>
      <c r="I21" s="177"/>
    </row>
    <row r="22" spans="1:9" ht="18" customHeight="1">
      <c r="A22" s="183" t="s">
        <v>496</v>
      </c>
      <c r="B22" s="175">
        <v>1147</v>
      </c>
      <c r="C22" s="175">
        <v>1036</v>
      </c>
      <c r="D22" s="175">
        <v>1069</v>
      </c>
      <c r="E22" s="175">
        <v>1134</v>
      </c>
      <c r="F22" s="175">
        <v>1361</v>
      </c>
      <c r="G22" s="175">
        <v>1065</v>
      </c>
      <c r="H22" s="175">
        <v>1013</v>
      </c>
      <c r="I22" s="175">
        <v>1080</v>
      </c>
    </row>
    <row r="23" spans="1:9" ht="18" customHeight="1">
      <c r="A23" s="183" t="s">
        <v>497</v>
      </c>
      <c r="B23" s="175">
        <v>342</v>
      </c>
      <c r="C23" s="175">
        <v>296</v>
      </c>
      <c r="D23" s="175">
        <v>265</v>
      </c>
      <c r="E23" s="175">
        <v>309</v>
      </c>
      <c r="F23" s="175">
        <v>378</v>
      </c>
      <c r="G23" s="175">
        <v>225</v>
      </c>
      <c r="H23" s="175">
        <v>219</v>
      </c>
      <c r="I23" s="175">
        <v>210</v>
      </c>
    </row>
    <row r="24" spans="1:9" ht="18" customHeight="1">
      <c r="A24" s="183" t="s">
        <v>508</v>
      </c>
      <c r="B24" s="175">
        <v>787</v>
      </c>
      <c r="C24" s="175">
        <v>721</v>
      </c>
      <c r="D24" s="175">
        <v>782</v>
      </c>
      <c r="E24" s="175">
        <v>798</v>
      </c>
      <c r="F24" s="175">
        <v>952</v>
      </c>
      <c r="G24" s="175">
        <v>819</v>
      </c>
      <c r="H24" s="175">
        <v>777</v>
      </c>
      <c r="I24" s="175">
        <v>852</v>
      </c>
    </row>
    <row r="25" spans="1:9" ht="18" customHeight="1">
      <c r="A25" s="183" t="s">
        <v>509</v>
      </c>
      <c r="B25" s="175">
        <v>18</v>
      </c>
      <c r="C25" s="175">
        <v>18</v>
      </c>
      <c r="D25" s="175">
        <v>23</v>
      </c>
      <c r="E25" s="175">
        <v>26</v>
      </c>
      <c r="F25" s="175">
        <v>30</v>
      </c>
      <c r="G25" s="175">
        <v>21</v>
      </c>
      <c r="H25" s="175">
        <v>17</v>
      </c>
      <c r="I25" s="175">
        <v>18</v>
      </c>
    </row>
    <row r="26" spans="1:9" ht="18" customHeight="1">
      <c r="A26" s="183" t="s">
        <v>492</v>
      </c>
      <c r="B26" s="175">
        <v>3349</v>
      </c>
      <c r="C26" s="175">
        <v>3200</v>
      </c>
      <c r="D26" s="175">
        <v>3213</v>
      </c>
      <c r="E26" s="175">
        <v>3363</v>
      </c>
      <c r="F26" s="175">
        <v>4013.2425107514382</v>
      </c>
      <c r="G26" s="175">
        <v>3183</v>
      </c>
      <c r="H26" s="175">
        <v>3061</v>
      </c>
      <c r="I26" s="175">
        <v>3340</v>
      </c>
    </row>
    <row r="27" spans="1:9" ht="18" customHeight="1">
      <c r="A27" s="170" t="s">
        <v>505</v>
      </c>
      <c r="B27" s="173">
        <v>1.6</v>
      </c>
      <c r="C27" s="173">
        <v>1.54</v>
      </c>
      <c r="D27" s="173">
        <v>1.64</v>
      </c>
      <c r="E27" s="173">
        <v>1.65</v>
      </c>
      <c r="F27" s="173">
        <v>1.98</v>
      </c>
      <c r="G27" s="173">
        <v>2.13</v>
      </c>
      <c r="H27" s="173">
        <v>2.0699999999999998</v>
      </c>
      <c r="I27" s="173">
        <v>2.5</v>
      </c>
    </row>
    <row r="28" spans="1:9" ht="18" customHeight="1">
      <c r="A28" s="170" t="s">
        <v>526</v>
      </c>
      <c r="B28" s="175"/>
      <c r="C28" s="175"/>
      <c r="D28" s="175"/>
      <c r="E28" s="175"/>
      <c r="F28" s="175"/>
      <c r="G28" s="175">
        <v>408</v>
      </c>
      <c r="H28" s="175">
        <v>277</v>
      </c>
      <c r="I28" s="175">
        <v>196</v>
      </c>
    </row>
    <row r="29" spans="1:9" ht="18" customHeight="1">
      <c r="A29" s="166"/>
      <c r="B29" s="161"/>
      <c r="C29" s="161"/>
      <c r="D29" s="161"/>
      <c r="E29" s="161"/>
      <c r="F29" s="161"/>
      <c r="G29" s="161"/>
      <c r="H29" s="161"/>
      <c r="I29" s="161"/>
    </row>
    <row r="30" spans="1:9" ht="18" customHeight="1">
      <c r="A30" s="164" t="s">
        <v>479</v>
      </c>
      <c r="B30" s="164"/>
      <c r="C30" s="164"/>
      <c r="D30" s="164"/>
      <c r="E30" s="164"/>
      <c r="F30" s="177"/>
      <c r="G30" s="177"/>
      <c r="H30" s="177"/>
      <c r="I30" s="177"/>
    </row>
    <row r="31" spans="1:9" ht="29.25" customHeight="1">
      <c r="A31" s="183" t="s">
        <v>498</v>
      </c>
      <c r="B31" s="175">
        <v>323000</v>
      </c>
      <c r="C31" s="175">
        <v>226000</v>
      </c>
      <c r="D31" s="175">
        <v>183000</v>
      </c>
      <c r="E31" s="175">
        <v>1108000</v>
      </c>
      <c r="F31" s="175">
        <v>299000</v>
      </c>
      <c r="G31" s="175">
        <v>168000</v>
      </c>
      <c r="H31" s="175">
        <v>315000</v>
      </c>
      <c r="I31" s="175">
        <v>228000</v>
      </c>
    </row>
    <row r="32" spans="1:9" ht="18" customHeight="1">
      <c r="A32" s="183" t="s">
        <v>502</v>
      </c>
      <c r="B32" s="175">
        <v>717000</v>
      </c>
      <c r="C32" s="175">
        <v>512000</v>
      </c>
      <c r="D32" s="175">
        <v>501000</v>
      </c>
      <c r="E32" s="175">
        <v>615000</v>
      </c>
      <c r="F32" s="175">
        <v>670000</v>
      </c>
      <c r="G32" s="175">
        <v>497000</v>
      </c>
      <c r="H32" s="175">
        <v>474000</v>
      </c>
      <c r="I32" s="175">
        <v>464000</v>
      </c>
    </row>
    <row r="33" spans="1:9" ht="18" customHeight="1">
      <c r="A33" s="183" t="s">
        <v>480</v>
      </c>
      <c r="B33" s="175">
        <v>3011</v>
      </c>
      <c r="C33" s="175">
        <v>3063</v>
      </c>
      <c r="D33" s="175">
        <v>3401</v>
      </c>
      <c r="E33" s="175">
        <v>3365</v>
      </c>
      <c r="F33" s="175">
        <v>2852</v>
      </c>
      <c r="G33" s="175">
        <v>2960</v>
      </c>
      <c r="H33" s="175">
        <v>2560</v>
      </c>
      <c r="I33" s="175">
        <v>2650</v>
      </c>
    </row>
    <row r="34" spans="1:9" ht="18" customHeight="1">
      <c r="A34" s="183" t="s">
        <v>481</v>
      </c>
      <c r="B34" s="175">
        <v>37</v>
      </c>
      <c r="C34" s="175">
        <v>37</v>
      </c>
      <c r="D34" s="175">
        <v>34</v>
      </c>
      <c r="E34" s="175">
        <v>28</v>
      </c>
      <c r="F34" s="175">
        <v>34</v>
      </c>
      <c r="G34" s="175">
        <v>40</v>
      </c>
      <c r="H34" s="175">
        <v>49</v>
      </c>
      <c r="I34" s="175">
        <v>55</v>
      </c>
    </row>
    <row r="35" spans="1:9" ht="23.25" customHeight="1">
      <c r="A35" s="183" t="s">
        <v>491</v>
      </c>
      <c r="B35" s="175">
        <v>4211</v>
      </c>
      <c r="C35" s="175">
        <v>12600</v>
      </c>
      <c r="D35" s="175">
        <v>10200</v>
      </c>
      <c r="E35" s="175">
        <v>5200</v>
      </c>
      <c r="F35" s="175">
        <v>7000</v>
      </c>
      <c r="G35" s="175">
        <v>4000</v>
      </c>
      <c r="H35" s="175">
        <v>4100</v>
      </c>
      <c r="I35" s="175">
        <v>3900</v>
      </c>
    </row>
    <row r="36" spans="1:9" ht="18.75" customHeight="1">
      <c r="A36" s="183" t="s">
        <v>482</v>
      </c>
      <c r="B36" s="175">
        <v>73</v>
      </c>
      <c r="C36" s="175">
        <v>78</v>
      </c>
      <c r="D36" s="175">
        <v>93</v>
      </c>
      <c r="E36" s="175">
        <v>99</v>
      </c>
      <c r="F36" s="175">
        <v>99</v>
      </c>
      <c r="G36" s="175">
        <v>97</v>
      </c>
      <c r="H36" s="175">
        <v>86</v>
      </c>
      <c r="I36" s="175">
        <v>99</v>
      </c>
    </row>
    <row r="37" spans="1:9" ht="31.5" customHeight="1">
      <c r="A37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99FF"/>
    <pageSetUpPr fitToPage="1"/>
  </sheetPr>
  <dimension ref="A1:XFD37"/>
  <sheetViews>
    <sheetView view="pageBreakPreview" zoomScaleNormal="100" zoomScaleSheetLayoutView="100" workbookViewId="0"/>
  </sheetViews>
  <sheetFormatPr defaultColWidth="11.453125" defaultRowHeight="12.5"/>
  <cols>
    <col min="1" max="1" width="68.7265625" style="56" customWidth="1"/>
    <col min="2" max="9" width="11.7265625" style="56" customWidth="1"/>
    <col min="10" max="16384" width="11.453125" style="56"/>
  </cols>
  <sheetData>
    <row r="1" spans="1:16384" ht="16.5" customHeight="1" thickBot="1">
      <c r="A1" s="149" t="s">
        <v>11</v>
      </c>
      <c r="B1" s="150"/>
      <c r="C1" s="150"/>
      <c r="D1" s="150"/>
      <c r="E1" s="150"/>
      <c r="F1" s="150"/>
      <c r="G1" s="150"/>
      <c r="H1" s="150"/>
      <c r="I1" s="151"/>
    </row>
    <row r="2" spans="1:16384" ht="21" customHeight="1">
      <c r="A2" s="157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6.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6.5" customHeight="1">
      <c r="A4" s="159" t="s">
        <v>486</v>
      </c>
      <c r="B4" s="175">
        <v>4953</v>
      </c>
      <c r="C4" s="175">
        <v>4675</v>
      </c>
      <c r="D4" s="175">
        <v>4160</v>
      </c>
      <c r="E4" s="175">
        <v>4331</v>
      </c>
      <c r="F4" s="175">
        <v>4046</v>
      </c>
      <c r="G4" s="175">
        <v>4017</v>
      </c>
      <c r="H4" s="175">
        <v>3292</v>
      </c>
      <c r="I4" s="175">
        <v>3510</v>
      </c>
    </row>
    <row r="5" spans="1:16384" ht="16.5" customHeight="1">
      <c r="A5" s="159" t="s">
        <v>487</v>
      </c>
      <c r="B5" s="172">
        <v>33.799999999999997</v>
      </c>
      <c r="C5" s="172">
        <v>33</v>
      </c>
      <c r="D5" s="172">
        <v>49</v>
      </c>
      <c r="E5" s="172">
        <v>33</v>
      </c>
      <c r="F5" s="172">
        <v>32</v>
      </c>
      <c r="G5" s="172">
        <v>30</v>
      </c>
      <c r="H5" s="172">
        <v>30.4</v>
      </c>
      <c r="I5" s="172">
        <v>30</v>
      </c>
    </row>
    <row r="6" spans="1:16384" ht="16.5" customHeight="1">
      <c r="A6" s="159" t="s">
        <v>488</v>
      </c>
      <c r="B6" s="172">
        <v>0.18</v>
      </c>
      <c r="C6" s="172">
        <v>30</v>
      </c>
      <c r="D6" s="172">
        <v>36</v>
      </c>
      <c r="E6" s="172">
        <v>33</v>
      </c>
      <c r="F6" s="172">
        <v>35</v>
      </c>
      <c r="G6" s="172">
        <v>55</v>
      </c>
      <c r="H6" s="172">
        <v>30</v>
      </c>
      <c r="I6" s="172">
        <v>30</v>
      </c>
    </row>
    <row r="7" spans="1:16384" ht="16.5" customHeight="1">
      <c r="A7" s="167" t="s">
        <v>483</v>
      </c>
      <c r="B7" s="175">
        <v>558</v>
      </c>
      <c r="C7" s="175" t="s">
        <v>510</v>
      </c>
      <c r="D7" s="175">
        <v>606</v>
      </c>
      <c r="E7" s="175">
        <v>529</v>
      </c>
      <c r="F7" s="175">
        <v>472</v>
      </c>
      <c r="G7" s="175">
        <v>596</v>
      </c>
      <c r="H7" s="175">
        <v>574</v>
      </c>
      <c r="I7" s="175">
        <v>362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6.5" customHeight="1">
      <c r="A8" s="158"/>
      <c r="B8" s="161"/>
      <c r="C8" s="169"/>
      <c r="D8" s="169"/>
      <c r="E8" s="169"/>
      <c r="F8" s="169"/>
      <c r="G8" s="169"/>
      <c r="H8" s="169"/>
      <c r="I8" s="169"/>
    </row>
    <row r="9" spans="1:16384" ht="16.5" customHeight="1">
      <c r="A9" s="164" t="s">
        <v>473</v>
      </c>
      <c r="B9" s="184"/>
      <c r="C9" s="185"/>
      <c r="D9" s="185"/>
      <c r="E9" s="185"/>
      <c r="F9" s="185"/>
      <c r="G9" s="185"/>
      <c r="H9" s="185"/>
      <c r="I9" s="185"/>
    </row>
    <row r="10" spans="1:16384" ht="16.5" customHeight="1">
      <c r="A10" s="159" t="s">
        <v>490</v>
      </c>
      <c r="B10" s="176">
        <v>0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</row>
    <row r="11" spans="1:16384" ht="16.5" customHeight="1">
      <c r="A11" s="159" t="s">
        <v>515</v>
      </c>
      <c r="B11" s="176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6.5" customHeight="1">
      <c r="A12" s="159" t="s">
        <v>507</v>
      </c>
      <c r="B12" s="176">
        <v>0.28999999999999998</v>
      </c>
      <c r="C12" s="176">
        <v>0.25</v>
      </c>
      <c r="D12" s="176">
        <v>0.27</v>
      </c>
      <c r="E12" s="176">
        <v>0.33</v>
      </c>
      <c r="F12" s="176">
        <v>0.65</v>
      </c>
      <c r="G12" s="176">
        <v>0</v>
      </c>
      <c r="H12" s="176">
        <v>0.31</v>
      </c>
      <c r="I12" s="176">
        <v>0.16</v>
      </c>
    </row>
    <row r="13" spans="1:16384" ht="16.5" customHeight="1">
      <c r="A13" s="159" t="s">
        <v>506</v>
      </c>
      <c r="B13" s="176">
        <v>5.08</v>
      </c>
      <c r="C13" s="176">
        <v>4.7300000000000004</v>
      </c>
      <c r="D13" s="176">
        <v>3.97</v>
      </c>
      <c r="E13" s="176">
        <v>4.32</v>
      </c>
      <c r="F13" s="176">
        <v>4.99</v>
      </c>
      <c r="G13" s="176">
        <v>4.45</v>
      </c>
      <c r="H13" s="176">
        <v>4.1100000000000003</v>
      </c>
      <c r="I13" s="176">
        <v>3.67</v>
      </c>
    </row>
    <row r="14" spans="1:16384" ht="16.5" customHeight="1">
      <c r="A14" s="158"/>
      <c r="B14" s="161"/>
      <c r="C14" s="169"/>
      <c r="D14" s="169"/>
      <c r="E14" s="169"/>
      <c r="F14" s="169"/>
      <c r="G14" s="169"/>
      <c r="H14" s="169"/>
      <c r="I14" s="169"/>
    </row>
    <row r="15" spans="1:16384" ht="16.5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6.5" customHeight="1">
      <c r="A16" s="163" t="s">
        <v>494</v>
      </c>
      <c r="B16" s="179" t="s">
        <v>510</v>
      </c>
      <c r="C16" s="162" t="s">
        <v>510</v>
      </c>
      <c r="D16" s="162" t="s">
        <v>510</v>
      </c>
      <c r="E16" s="162">
        <v>275</v>
      </c>
      <c r="F16" s="175">
        <v>1279</v>
      </c>
      <c r="G16" s="175">
        <v>206</v>
      </c>
      <c r="H16" s="175">
        <v>406</v>
      </c>
      <c r="I16" s="175">
        <v>306</v>
      </c>
    </row>
    <row r="17" spans="1:9" ht="16.5" customHeight="1">
      <c r="A17" s="159" t="s">
        <v>476</v>
      </c>
      <c r="B17" s="180">
        <v>35</v>
      </c>
      <c r="C17" s="180">
        <v>43</v>
      </c>
      <c r="D17" s="180">
        <v>72</v>
      </c>
      <c r="E17" s="180">
        <v>80</v>
      </c>
      <c r="F17" s="159">
        <v>96</v>
      </c>
      <c r="G17" s="159">
        <v>84</v>
      </c>
      <c r="H17" s="159">
        <v>84</v>
      </c>
      <c r="I17" s="159">
        <v>90</v>
      </c>
    </row>
    <row r="18" spans="1:9" ht="16.5" customHeight="1">
      <c r="A18" s="159" t="s">
        <v>495</v>
      </c>
      <c r="B18" s="180">
        <v>0</v>
      </c>
      <c r="C18" s="180">
        <v>0</v>
      </c>
      <c r="D18" s="176">
        <v>0</v>
      </c>
      <c r="E18" s="176">
        <v>0</v>
      </c>
      <c r="F18" s="162">
        <v>1</v>
      </c>
      <c r="G18" s="176">
        <v>0</v>
      </c>
      <c r="H18" s="176">
        <v>0</v>
      </c>
      <c r="I18" s="176">
        <v>0</v>
      </c>
    </row>
    <row r="19" spans="1:9" ht="16.5" customHeight="1">
      <c r="A19" s="163" t="s">
        <v>478</v>
      </c>
      <c r="B19" s="179">
        <v>100</v>
      </c>
      <c r="C19" s="179">
        <v>100</v>
      </c>
      <c r="D19" s="179">
        <v>50</v>
      </c>
      <c r="E19" s="179">
        <v>82</v>
      </c>
      <c r="F19" s="179">
        <v>100</v>
      </c>
      <c r="G19" s="179">
        <v>26</v>
      </c>
      <c r="H19" s="179">
        <v>0</v>
      </c>
      <c r="I19" s="179">
        <v>0</v>
      </c>
    </row>
    <row r="20" spans="1:9" ht="16.5" customHeight="1">
      <c r="A20" s="170"/>
      <c r="B20" s="163"/>
      <c r="C20" s="160"/>
      <c r="D20" s="160"/>
      <c r="E20" s="160"/>
      <c r="F20" s="160"/>
      <c r="G20" s="160"/>
      <c r="H20" s="160"/>
      <c r="I20" s="160"/>
    </row>
    <row r="21" spans="1:9" ht="16.5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</row>
    <row r="22" spans="1:9" ht="16.5" customHeight="1">
      <c r="A22" s="163" t="s">
        <v>514</v>
      </c>
      <c r="B22" s="175">
        <v>21667.653014399999</v>
      </c>
      <c r="C22" s="175">
        <v>13867.716354</v>
      </c>
      <c r="D22" s="175">
        <v>14732.107647999997</v>
      </c>
      <c r="E22" s="175">
        <v>12152</v>
      </c>
      <c r="F22" s="175">
        <v>11758</v>
      </c>
      <c r="G22" s="175">
        <v>11186</v>
      </c>
      <c r="H22" s="175">
        <v>10224.255694899999</v>
      </c>
      <c r="I22" s="175">
        <v>11274.543868799999</v>
      </c>
    </row>
    <row r="23" spans="1:9" ht="16.5" customHeight="1">
      <c r="A23" s="163" t="s">
        <v>513</v>
      </c>
      <c r="B23" s="175">
        <v>16145.940628</v>
      </c>
      <c r="C23" s="175">
        <v>9032.8271299999997</v>
      </c>
      <c r="D23" s="175">
        <v>9164</v>
      </c>
      <c r="E23" s="175">
        <v>7647</v>
      </c>
      <c r="F23" s="175">
        <v>7568</v>
      </c>
      <c r="G23" s="175">
        <v>7408</v>
      </c>
      <c r="H23" s="175">
        <v>6990.2076949000002</v>
      </c>
      <c r="I23" s="175">
        <v>6877.6572088000003</v>
      </c>
    </row>
    <row r="24" spans="1:9" ht="16.5" customHeight="1">
      <c r="A24" s="163" t="s">
        <v>511</v>
      </c>
      <c r="B24" s="175">
        <v>3174</v>
      </c>
      <c r="C24" s="175">
        <v>2956.2429999999999</v>
      </c>
      <c r="D24" s="175">
        <v>3438</v>
      </c>
      <c r="E24" s="175">
        <v>2590</v>
      </c>
      <c r="F24" s="175">
        <v>2354</v>
      </c>
      <c r="G24" s="175">
        <v>2162</v>
      </c>
      <c r="H24" s="175">
        <v>2152.0319999999997</v>
      </c>
      <c r="I24" s="175">
        <v>2796.1759999999999</v>
      </c>
    </row>
    <row r="25" spans="1:9" ht="16.5" customHeight="1">
      <c r="A25" s="163" t="s">
        <v>512</v>
      </c>
      <c r="B25" s="175">
        <v>2347</v>
      </c>
      <c r="C25" s="175">
        <v>1878.6462240000001</v>
      </c>
      <c r="D25" s="175">
        <v>2129</v>
      </c>
      <c r="E25" s="175">
        <v>1915</v>
      </c>
      <c r="F25" s="175">
        <v>1836</v>
      </c>
      <c r="G25" s="175">
        <v>1616</v>
      </c>
      <c r="H25" s="175">
        <v>1082.0160000000001</v>
      </c>
      <c r="I25" s="175">
        <v>1600.71066</v>
      </c>
    </row>
    <row r="26" spans="1:9" ht="16.5" customHeight="1">
      <c r="A26" s="163" t="s">
        <v>492</v>
      </c>
      <c r="B26" s="175">
        <v>341.2</v>
      </c>
      <c r="C26" s="175">
        <v>299.89999999999998</v>
      </c>
      <c r="D26" s="175">
        <v>304.5</v>
      </c>
      <c r="E26" s="175">
        <v>288.7</v>
      </c>
      <c r="F26" s="175">
        <v>315.60000000000002</v>
      </c>
      <c r="G26" s="175">
        <v>306</v>
      </c>
      <c r="H26" s="175">
        <v>303.33572459999999</v>
      </c>
      <c r="I26" s="175">
        <v>385.36532406399999</v>
      </c>
    </row>
    <row r="27" spans="1:9" ht="16.5" customHeight="1">
      <c r="A27" s="170" t="s">
        <v>505</v>
      </c>
      <c r="B27" s="173">
        <v>0.3</v>
      </c>
      <c r="C27" s="173">
        <v>0.33</v>
      </c>
      <c r="D27" s="173">
        <v>0.36</v>
      </c>
      <c r="E27" s="173">
        <v>0.38</v>
      </c>
      <c r="F27" s="173">
        <v>0.44</v>
      </c>
      <c r="G27" s="173">
        <v>0.56000000000000005</v>
      </c>
      <c r="H27" s="173">
        <v>0.63547386627517799</v>
      </c>
      <c r="I27" s="173">
        <v>0.71</v>
      </c>
    </row>
    <row r="28" spans="1:9" ht="16.5" customHeight="1">
      <c r="A28" s="166"/>
      <c r="B28" s="161"/>
      <c r="C28" s="169"/>
      <c r="D28" s="169"/>
      <c r="E28" s="169"/>
      <c r="F28" s="169"/>
      <c r="G28" s="169"/>
      <c r="H28" s="169"/>
      <c r="I28" s="169"/>
    </row>
    <row r="29" spans="1:9" ht="16.5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9" ht="33.75" customHeight="1">
      <c r="A30" s="163" t="s">
        <v>498</v>
      </c>
      <c r="B30" s="175">
        <v>180114</v>
      </c>
      <c r="C30" s="175">
        <v>95485</v>
      </c>
      <c r="D30" s="175">
        <v>71169</v>
      </c>
      <c r="E30" s="175">
        <v>57793</v>
      </c>
      <c r="F30" s="175">
        <v>38848</v>
      </c>
      <c r="G30" s="175">
        <v>27594</v>
      </c>
      <c r="H30" s="175">
        <v>77289</v>
      </c>
      <c r="I30" s="175">
        <v>81279</v>
      </c>
    </row>
    <row r="31" spans="1:9" ht="16.5" customHeight="1">
      <c r="A31" s="163" t="s">
        <v>499</v>
      </c>
      <c r="B31" s="175">
        <v>120000</v>
      </c>
      <c r="C31" s="175">
        <v>86720</v>
      </c>
      <c r="D31" s="175">
        <v>90502</v>
      </c>
      <c r="E31" s="175">
        <v>75254</v>
      </c>
      <c r="F31" s="175">
        <v>67054</v>
      </c>
      <c r="G31" s="175">
        <v>54220</v>
      </c>
      <c r="H31" s="175">
        <v>52455</v>
      </c>
      <c r="I31" s="175">
        <v>57167</v>
      </c>
    </row>
    <row r="32" spans="1:9" ht="16.5" customHeight="1">
      <c r="A32" s="163" t="s">
        <v>480</v>
      </c>
      <c r="B32" s="175">
        <v>1061</v>
      </c>
      <c r="C32" s="175">
        <v>1030</v>
      </c>
      <c r="D32" s="175">
        <v>991</v>
      </c>
      <c r="E32" s="175">
        <v>912</v>
      </c>
      <c r="F32" s="175">
        <v>928</v>
      </c>
      <c r="G32" s="175">
        <v>1024</v>
      </c>
      <c r="H32" s="175">
        <v>1322</v>
      </c>
      <c r="I32" s="175">
        <v>1295</v>
      </c>
    </row>
    <row r="33" spans="1:9" ht="16.5" customHeight="1">
      <c r="A33" s="163" t="s">
        <v>481</v>
      </c>
      <c r="B33" s="175">
        <v>51.3</v>
      </c>
      <c r="C33" s="175">
        <v>49</v>
      </c>
      <c r="D33" s="175">
        <v>52.6</v>
      </c>
      <c r="E33" s="175">
        <v>54.7</v>
      </c>
      <c r="F33" s="175">
        <v>58.1</v>
      </c>
      <c r="G33" s="175">
        <v>60</v>
      </c>
      <c r="H33" s="175">
        <v>66</v>
      </c>
      <c r="I33" s="175">
        <v>70</v>
      </c>
    </row>
    <row r="34" spans="1:9" ht="16.5" customHeight="1">
      <c r="A34" s="163" t="s">
        <v>491</v>
      </c>
      <c r="B34" s="175">
        <v>140</v>
      </c>
      <c r="C34" s="175">
        <v>453</v>
      </c>
      <c r="D34" s="175">
        <v>760</v>
      </c>
      <c r="E34" s="175">
        <v>580</v>
      </c>
      <c r="F34" s="175">
        <v>680</v>
      </c>
      <c r="G34" s="175">
        <v>349</v>
      </c>
      <c r="H34" s="175">
        <v>316</v>
      </c>
      <c r="I34" s="175">
        <v>252</v>
      </c>
    </row>
    <row r="35" spans="1:9" ht="16.5" customHeight="1">
      <c r="A35" s="163" t="s">
        <v>482</v>
      </c>
      <c r="B35" s="175">
        <v>100</v>
      </c>
      <c r="C35" s="175">
        <v>100</v>
      </c>
      <c r="D35" s="175">
        <v>100</v>
      </c>
      <c r="E35" s="175">
        <v>100</v>
      </c>
      <c r="F35" s="175">
        <v>100</v>
      </c>
      <c r="G35" s="175">
        <v>100</v>
      </c>
      <c r="H35" s="175">
        <v>100</v>
      </c>
      <c r="I35" s="175">
        <v>100</v>
      </c>
    </row>
    <row r="36" spans="1:9" ht="16.5" customHeight="1">
      <c r="A36" s="166"/>
      <c r="B36" s="161"/>
      <c r="C36" s="169"/>
      <c r="D36" s="169"/>
      <c r="E36" s="169"/>
      <c r="F36" s="169"/>
      <c r="G36" s="169"/>
      <c r="H36" s="169"/>
      <c r="I36" s="169"/>
    </row>
    <row r="37" spans="1:9" ht="30" customHeight="1">
      <c r="A37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customProperties>
    <customPr name="ConnName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5429687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4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2361</v>
      </c>
      <c r="C4" s="175">
        <v>2061</v>
      </c>
      <c r="D4" s="175">
        <v>2558</v>
      </c>
      <c r="E4" s="175">
        <v>2157</v>
      </c>
      <c r="F4" s="175">
        <v>1836</v>
      </c>
      <c r="G4" s="175">
        <v>1739</v>
      </c>
      <c r="H4" s="175">
        <v>1547</v>
      </c>
      <c r="I4" s="175">
        <v>1458</v>
      </c>
    </row>
    <row r="5" spans="1:16384" ht="18" customHeight="1">
      <c r="A5" s="159" t="s">
        <v>487</v>
      </c>
      <c r="B5" s="172">
        <v>32.9</v>
      </c>
      <c r="C5" s="172">
        <v>34.5</v>
      </c>
      <c r="D5" s="172">
        <v>37</v>
      </c>
      <c r="E5" s="172">
        <v>38</v>
      </c>
      <c r="F5" s="172">
        <v>36.799999999999997</v>
      </c>
      <c r="G5" s="172">
        <v>37</v>
      </c>
      <c r="H5" s="172">
        <v>36.5</v>
      </c>
      <c r="I5" s="172">
        <v>35</v>
      </c>
    </row>
    <row r="6" spans="1:16384" ht="18" customHeight="1">
      <c r="A6" s="159" t="s">
        <v>488</v>
      </c>
      <c r="B6" s="172">
        <v>0</v>
      </c>
      <c r="C6" s="172">
        <v>0.11</v>
      </c>
      <c r="D6" s="172">
        <v>33</v>
      </c>
      <c r="E6" s="172">
        <v>50</v>
      </c>
      <c r="F6" s="172">
        <v>25</v>
      </c>
      <c r="G6" s="172">
        <v>29</v>
      </c>
      <c r="H6" s="172">
        <v>26</v>
      </c>
      <c r="I6" s="172">
        <v>30</v>
      </c>
    </row>
    <row r="7" spans="1:16384" ht="18" customHeight="1">
      <c r="A7" s="167" t="s">
        <v>483</v>
      </c>
      <c r="B7" s="172">
        <v>735</v>
      </c>
      <c r="C7" s="172" t="s">
        <v>510</v>
      </c>
      <c r="D7" s="172">
        <v>582</v>
      </c>
      <c r="E7" s="172">
        <v>618</v>
      </c>
      <c r="F7" s="172">
        <v>624</v>
      </c>
      <c r="G7" s="172">
        <v>737</v>
      </c>
      <c r="H7" s="172">
        <v>672</v>
      </c>
      <c r="I7" s="172">
        <v>524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5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>
        <v>0.27</v>
      </c>
      <c r="C12" s="173">
        <v>1.74</v>
      </c>
      <c r="D12" s="173" t="s">
        <v>503</v>
      </c>
      <c r="E12" s="173">
        <v>0.56999999999999995</v>
      </c>
      <c r="F12" s="173">
        <v>0.56000000000000005</v>
      </c>
      <c r="G12" s="173">
        <v>1</v>
      </c>
      <c r="H12" s="173">
        <v>1.5</v>
      </c>
      <c r="I12" s="173">
        <v>0</v>
      </c>
    </row>
    <row r="13" spans="1:16384" ht="18" customHeight="1">
      <c r="A13" s="159" t="s">
        <v>501</v>
      </c>
      <c r="B13" s="173">
        <v>3.71</v>
      </c>
      <c r="C13" s="173" t="s">
        <v>510</v>
      </c>
      <c r="D13" s="174">
        <v>3.65</v>
      </c>
      <c r="E13" s="173">
        <v>3.93</v>
      </c>
      <c r="F13" s="173">
        <v>5.36</v>
      </c>
      <c r="G13" s="173">
        <v>3.8</v>
      </c>
      <c r="H13" s="173">
        <v>4.3099999999999996</v>
      </c>
      <c r="I13" s="173">
        <v>3.54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2">
        <v>0</v>
      </c>
      <c r="F16" s="172">
        <v>0</v>
      </c>
      <c r="G16" s="172">
        <v>410</v>
      </c>
      <c r="H16" s="172">
        <v>280</v>
      </c>
      <c r="I16" s="172">
        <v>240</v>
      </c>
    </row>
    <row r="17" spans="1:10" ht="18" customHeight="1">
      <c r="A17" s="159" t="s">
        <v>476</v>
      </c>
      <c r="B17" s="172">
        <v>33</v>
      </c>
      <c r="C17" s="172">
        <v>23</v>
      </c>
      <c r="D17" s="172">
        <v>35</v>
      </c>
      <c r="E17" s="172">
        <v>11</v>
      </c>
      <c r="F17" s="172">
        <v>40</v>
      </c>
      <c r="G17" s="172">
        <v>41</v>
      </c>
      <c r="H17" s="172">
        <v>41</v>
      </c>
      <c r="I17" s="172">
        <v>40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10" ht="18" customHeight="1">
      <c r="A19" s="163" t="s">
        <v>493</v>
      </c>
      <c r="B19" s="172">
        <v>6</v>
      </c>
      <c r="C19" s="172">
        <v>0</v>
      </c>
      <c r="D19" s="172">
        <v>0</v>
      </c>
      <c r="E19" s="172">
        <v>0</v>
      </c>
      <c r="F19" s="172"/>
      <c r="G19" s="172">
        <v>100</v>
      </c>
      <c r="H19" s="172">
        <v>100</v>
      </c>
      <c r="I19" s="172">
        <v>100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</row>
    <row r="22" spans="1:10" ht="18" customHeight="1">
      <c r="A22" s="163" t="s">
        <v>514</v>
      </c>
      <c r="B22" s="175">
        <v>29038.098581999999</v>
      </c>
      <c r="C22" s="175">
        <v>28592.13049</v>
      </c>
      <c r="D22" s="175">
        <v>21330.83</v>
      </c>
      <c r="E22" s="175">
        <v>18768</v>
      </c>
      <c r="F22" s="175">
        <v>17097</v>
      </c>
      <c r="G22" s="175">
        <v>14901</v>
      </c>
      <c r="H22" s="175">
        <v>12512.2671766</v>
      </c>
      <c r="I22" s="175">
        <v>9727.4268800999998</v>
      </c>
      <c r="J22" s="171"/>
    </row>
    <row r="23" spans="1:10" ht="18" customHeight="1">
      <c r="A23" s="163" t="s">
        <v>513</v>
      </c>
      <c r="B23" s="175">
        <v>1212.870222</v>
      </c>
      <c r="C23" s="175">
        <v>1355.17</v>
      </c>
      <c r="D23" s="175">
        <v>1027.5</v>
      </c>
      <c r="E23" s="175">
        <v>889</v>
      </c>
      <c r="F23" s="175">
        <v>809.9</v>
      </c>
      <c r="G23" s="175">
        <v>778</v>
      </c>
      <c r="H23" s="175">
        <v>680.41909659999999</v>
      </c>
      <c r="I23" s="175">
        <v>678.86986009999998</v>
      </c>
      <c r="J23" s="171"/>
    </row>
    <row r="24" spans="1:10" ht="18" customHeight="1">
      <c r="A24" s="163" t="s">
        <v>511</v>
      </c>
      <c r="B24" s="175">
        <v>27719.1</v>
      </c>
      <c r="C24" s="175">
        <v>26431.8</v>
      </c>
      <c r="D24" s="175">
        <v>19078.400000000001</v>
      </c>
      <c r="E24" s="175">
        <v>16701</v>
      </c>
      <c r="F24" s="175">
        <v>15324.8</v>
      </c>
      <c r="G24" s="175">
        <v>13611</v>
      </c>
      <c r="H24" s="175">
        <v>11328.6</v>
      </c>
      <c r="I24" s="175">
        <v>8595.61</v>
      </c>
    </row>
    <row r="25" spans="1:10" ht="18" customHeight="1">
      <c r="A25" s="163" t="s">
        <v>512</v>
      </c>
      <c r="B25" s="175">
        <v>106.12836</v>
      </c>
      <c r="C25" s="175">
        <v>805.16250000000002</v>
      </c>
      <c r="D25" s="175">
        <v>1224.96</v>
      </c>
      <c r="E25" s="175">
        <v>1178</v>
      </c>
      <c r="F25" s="175">
        <v>962.18</v>
      </c>
      <c r="G25" s="175">
        <v>513</v>
      </c>
      <c r="H25" s="175">
        <v>503.24807999999996</v>
      </c>
      <c r="I25" s="175">
        <v>452.94702000000001</v>
      </c>
    </row>
    <row r="26" spans="1:10" ht="18" customHeight="1">
      <c r="A26" s="163" t="s">
        <v>492</v>
      </c>
      <c r="B26" s="175">
        <v>135.30000000000001</v>
      </c>
      <c r="C26" s="175">
        <v>142</v>
      </c>
      <c r="D26" s="175">
        <v>120.3</v>
      </c>
      <c r="E26" s="175">
        <v>68.900000000000006</v>
      </c>
      <c r="F26" s="175">
        <v>66.900000000000006</v>
      </c>
      <c r="G26" s="175">
        <v>64</v>
      </c>
      <c r="H26" s="175">
        <v>60.837410415999997</v>
      </c>
      <c r="I26" s="175">
        <v>62.759066695999998</v>
      </c>
    </row>
    <row r="27" spans="1:10" ht="18" customHeight="1">
      <c r="A27" s="170" t="s">
        <v>505</v>
      </c>
      <c r="B27" s="178">
        <v>1</v>
      </c>
      <c r="C27" s="178">
        <v>1.22</v>
      </c>
      <c r="D27" s="178">
        <v>1.03</v>
      </c>
      <c r="E27" s="178">
        <v>0.81</v>
      </c>
      <c r="F27" s="178">
        <v>0.96</v>
      </c>
      <c r="G27" s="178">
        <v>0.9</v>
      </c>
      <c r="H27" s="178">
        <v>1.1044880277937501</v>
      </c>
      <c r="I27" s="178">
        <v>1.1044880277937501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75">
        <v>32294</v>
      </c>
      <c r="C30" s="175">
        <v>14788</v>
      </c>
      <c r="D30" s="175">
        <v>18895</v>
      </c>
      <c r="E30" s="175">
        <v>16885</v>
      </c>
      <c r="F30" s="175">
        <v>8444</v>
      </c>
      <c r="G30" s="175">
        <v>3640</v>
      </c>
      <c r="H30" s="175">
        <v>5249</v>
      </c>
      <c r="I30" s="175">
        <v>5249</v>
      </c>
    </row>
    <row r="31" spans="1:10" ht="18" customHeight="1">
      <c r="A31" s="163" t="s">
        <v>502</v>
      </c>
      <c r="B31" s="175">
        <v>7967</v>
      </c>
      <c r="C31" s="175">
        <v>8029</v>
      </c>
      <c r="D31" s="175">
        <v>9135</v>
      </c>
      <c r="E31" s="175">
        <v>9733</v>
      </c>
      <c r="F31" s="175">
        <v>9946</v>
      </c>
      <c r="G31" s="175">
        <v>9360</v>
      </c>
      <c r="H31" s="175">
        <v>7567</v>
      </c>
      <c r="I31" s="175">
        <v>7567</v>
      </c>
    </row>
    <row r="32" spans="1:10" ht="18" customHeight="1">
      <c r="A32" s="163" t="s">
        <v>480</v>
      </c>
      <c r="B32" s="175">
        <v>157</v>
      </c>
      <c r="C32" s="175">
        <v>199</v>
      </c>
      <c r="D32" s="175">
        <v>325</v>
      </c>
      <c r="E32" s="175">
        <v>660</v>
      </c>
      <c r="F32" s="175">
        <v>198</v>
      </c>
      <c r="G32" s="175">
        <v>193</v>
      </c>
      <c r="H32" s="175">
        <v>171</v>
      </c>
      <c r="I32" s="175">
        <v>171</v>
      </c>
    </row>
    <row r="33" spans="1:9" ht="18" customHeight="1">
      <c r="A33" s="163" t="s">
        <v>481</v>
      </c>
      <c r="B33" s="175">
        <v>13.2</v>
      </c>
      <c r="C33" s="175">
        <v>22.1</v>
      </c>
      <c r="D33" s="175">
        <v>13.2</v>
      </c>
      <c r="E33" s="175">
        <v>2.9</v>
      </c>
      <c r="F33" s="175">
        <v>17.2</v>
      </c>
      <c r="G33" s="175">
        <v>25</v>
      </c>
      <c r="H33" s="175">
        <v>37</v>
      </c>
      <c r="I33" s="175">
        <v>37</v>
      </c>
    </row>
    <row r="34" spans="1:9" ht="18" customHeight="1">
      <c r="A34" s="163" t="s">
        <v>491</v>
      </c>
      <c r="B34" s="175">
        <v>9</v>
      </c>
      <c r="C34" s="175">
        <v>8</v>
      </c>
      <c r="D34" s="175">
        <v>58</v>
      </c>
      <c r="E34" s="175">
        <v>142</v>
      </c>
      <c r="F34" s="175">
        <v>60</v>
      </c>
      <c r="G34" s="175">
        <v>77</v>
      </c>
      <c r="H34" s="175">
        <v>100</v>
      </c>
      <c r="I34" s="175">
        <v>100</v>
      </c>
    </row>
    <row r="35" spans="1:9" ht="18" customHeight="1">
      <c r="A35" s="163" t="s">
        <v>482</v>
      </c>
      <c r="B35" s="175">
        <v>100</v>
      </c>
      <c r="C35" s="175">
        <v>100</v>
      </c>
      <c r="D35" s="175">
        <v>100</v>
      </c>
      <c r="E35" s="175">
        <v>100</v>
      </c>
      <c r="F35" s="175">
        <v>100</v>
      </c>
      <c r="G35" s="175">
        <v>100</v>
      </c>
      <c r="H35" s="175">
        <v>70</v>
      </c>
      <c r="I35" s="175">
        <v>70</v>
      </c>
    </row>
    <row r="36" spans="1:9" ht="33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7265625" style="56" customWidth="1"/>
    <col min="2" max="9" width="11.7265625" style="56" customWidth="1"/>
    <col min="10" max="16384" width="11.453125" style="56"/>
  </cols>
  <sheetData>
    <row r="1" spans="1:16384" ht="16" thickBot="1">
      <c r="A1" s="149" t="s">
        <v>5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2084</v>
      </c>
      <c r="C4" s="175">
        <v>1935</v>
      </c>
      <c r="D4" s="175">
        <v>1898</v>
      </c>
      <c r="E4" s="175">
        <v>1883</v>
      </c>
      <c r="F4" s="175">
        <v>1729</v>
      </c>
      <c r="G4" s="175">
        <v>1683</v>
      </c>
      <c r="H4" s="175">
        <v>1842</v>
      </c>
      <c r="I4" s="175">
        <v>1866</v>
      </c>
    </row>
    <row r="5" spans="1:16384" ht="18" customHeight="1">
      <c r="A5" s="159" t="s">
        <v>487</v>
      </c>
      <c r="B5" s="172">
        <v>36.700000000000003</v>
      </c>
      <c r="C5" s="172">
        <v>35</v>
      </c>
      <c r="D5" s="172">
        <v>35</v>
      </c>
      <c r="E5" s="172">
        <v>33.700000000000003</v>
      </c>
      <c r="F5" s="172">
        <v>33.9</v>
      </c>
      <c r="G5" s="172">
        <v>35</v>
      </c>
      <c r="H5" s="172">
        <v>34</v>
      </c>
      <c r="I5" s="172">
        <v>33</v>
      </c>
    </row>
    <row r="6" spans="1:16384" ht="18" customHeight="1">
      <c r="A6" s="159" t="s">
        <v>488</v>
      </c>
      <c r="B6" s="172">
        <v>0.11</v>
      </c>
      <c r="C6" s="172">
        <v>22.2</v>
      </c>
      <c r="D6" s="172">
        <v>0.25</v>
      </c>
      <c r="E6" s="172">
        <v>55.5</v>
      </c>
      <c r="F6" s="172">
        <v>0.5</v>
      </c>
      <c r="G6" s="172">
        <v>50</v>
      </c>
      <c r="H6" s="172">
        <v>34</v>
      </c>
      <c r="I6" s="172">
        <v>32</v>
      </c>
    </row>
    <row r="7" spans="1:16384" ht="18" customHeight="1">
      <c r="A7" s="167" t="s">
        <v>483</v>
      </c>
      <c r="B7" s="172">
        <v>270</v>
      </c>
      <c r="C7" s="172" t="s">
        <v>510</v>
      </c>
      <c r="D7" s="172">
        <v>525</v>
      </c>
      <c r="E7" s="172">
        <v>479</v>
      </c>
      <c r="F7" s="172">
        <v>551</v>
      </c>
      <c r="G7" s="172">
        <v>588</v>
      </c>
      <c r="H7" s="172">
        <v>243</v>
      </c>
      <c r="I7" s="172">
        <v>239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6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16384" ht="18" customHeight="1">
      <c r="A12" s="159" t="s">
        <v>500</v>
      </c>
      <c r="B12" s="173" t="s">
        <v>510</v>
      </c>
      <c r="C12" s="173" t="s">
        <v>510</v>
      </c>
      <c r="D12" s="173">
        <v>1.08</v>
      </c>
      <c r="E12" s="173">
        <v>0.68</v>
      </c>
      <c r="F12" s="173">
        <v>0.65</v>
      </c>
      <c r="G12" s="173">
        <v>0</v>
      </c>
      <c r="H12" s="173">
        <v>0</v>
      </c>
      <c r="I12" s="173">
        <v>0</v>
      </c>
    </row>
    <row r="13" spans="1:16384" ht="24" customHeight="1">
      <c r="A13" s="159" t="s">
        <v>501</v>
      </c>
      <c r="B13" s="173">
        <v>2.13</v>
      </c>
      <c r="C13" s="173">
        <v>1.83</v>
      </c>
      <c r="D13" s="174">
        <v>2.2999999999999998</v>
      </c>
      <c r="E13" s="173">
        <v>2.69</v>
      </c>
      <c r="F13" s="173">
        <v>3.57</v>
      </c>
      <c r="G13" s="173">
        <v>3.62</v>
      </c>
      <c r="H13" s="173">
        <v>3.82</v>
      </c>
      <c r="I13" s="173">
        <v>3.67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64"/>
      <c r="G15" s="164"/>
      <c r="H15" s="164"/>
      <c r="I15" s="164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2">
        <v>53</v>
      </c>
      <c r="F16" s="172">
        <v>63</v>
      </c>
      <c r="G16" s="172">
        <v>300</v>
      </c>
      <c r="H16" s="172">
        <v>388</v>
      </c>
      <c r="I16" s="172">
        <v>220</v>
      </c>
    </row>
    <row r="17" spans="1:10" ht="18" customHeight="1">
      <c r="A17" s="159" t="s">
        <v>476</v>
      </c>
      <c r="B17" s="172">
        <v>30</v>
      </c>
      <c r="C17" s="172">
        <v>31</v>
      </c>
      <c r="D17" s="172">
        <v>41</v>
      </c>
      <c r="E17" s="172">
        <v>40</v>
      </c>
      <c r="F17" s="172">
        <v>33</v>
      </c>
      <c r="G17" s="172">
        <v>41</v>
      </c>
      <c r="H17" s="172">
        <v>40</v>
      </c>
      <c r="I17" s="172">
        <v>40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10" ht="18" customHeight="1">
      <c r="A19" s="163" t="s">
        <v>493</v>
      </c>
      <c r="B19" s="172">
        <v>100</v>
      </c>
      <c r="C19" s="172">
        <v>100</v>
      </c>
      <c r="D19" s="172">
        <v>100</v>
      </c>
      <c r="E19" s="172">
        <v>0</v>
      </c>
      <c r="F19" s="172">
        <v>56</v>
      </c>
      <c r="G19" s="172">
        <v>7</v>
      </c>
      <c r="H19" s="172">
        <v>100</v>
      </c>
      <c r="I19" s="172">
        <v>69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64"/>
      <c r="G21" s="164"/>
      <c r="H21" s="164"/>
      <c r="I21" s="164"/>
      <c r="J21" s="171"/>
    </row>
    <row r="22" spans="1:10" ht="18" customHeight="1">
      <c r="A22" s="163" t="s">
        <v>514</v>
      </c>
      <c r="B22" s="175">
        <v>3966.9926420000002</v>
      </c>
      <c r="C22" s="175">
        <v>3689.5356289309998</v>
      </c>
      <c r="D22" s="175">
        <v>2957.644512807</v>
      </c>
      <c r="E22" s="175">
        <v>1849.3599889111999</v>
      </c>
      <c r="F22" s="175">
        <v>1724.1122118000001</v>
      </c>
      <c r="G22" s="175">
        <v>1612</v>
      </c>
      <c r="H22" s="175">
        <v>1803.7292797</v>
      </c>
      <c r="I22" s="175">
        <v>1524.39289295</v>
      </c>
      <c r="J22" s="171"/>
    </row>
    <row r="23" spans="1:10" ht="18" customHeight="1">
      <c r="A23" s="163" t="s">
        <v>513</v>
      </c>
      <c r="B23" s="175">
        <v>1518.3931420000001</v>
      </c>
      <c r="C23" s="175">
        <v>767.21279893099995</v>
      </c>
      <c r="D23" s="175">
        <v>575.98929280699997</v>
      </c>
      <c r="E23" s="175">
        <v>433.97150891119998</v>
      </c>
      <c r="F23" s="175">
        <v>356.99679180000004</v>
      </c>
      <c r="G23" s="175">
        <v>356</v>
      </c>
      <c r="H23" s="175">
        <v>557.26833969999996</v>
      </c>
      <c r="I23" s="175">
        <v>339.42079295000002</v>
      </c>
    </row>
    <row r="24" spans="1:10" ht="18" customHeight="1">
      <c r="A24" s="163" t="s">
        <v>511</v>
      </c>
      <c r="B24" s="175">
        <v>1497.22</v>
      </c>
      <c r="C24" s="175">
        <v>2187.6</v>
      </c>
      <c r="D24" s="175">
        <v>1834.8999999999999</v>
      </c>
      <c r="E24" s="175">
        <v>772.82999999999993</v>
      </c>
      <c r="F24" s="175">
        <v>627.45000000000005</v>
      </c>
      <c r="G24" s="175">
        <v>708</v>
      </c>
      <c r="H24" s="175">
        <v>414.29999999999995</v>
      </c>
      <c r="I24" s="175">
        <v>514.41</v>
      </c>
    </row>
    <row r="25" spans="1:10" ht="18" customHeight="1">
      <c r="A25" s="163" t="s">
        <v>512</v>
      </c>
      <c r="B25" s="175">
        <v>951.37950000000001</v>
      </c>
      <c r="C25" s="175">
        <v>734.72283000000004</v>
      </c>
      <c r="D25" s="175">
        <v>546.75522000000001</v>
      </c>
      <c r="E25" s="175">
        <v>642.55847999999992</v>
      </c>
      <c r="F25" s="175">
        <v>739.66542000000004</v>
      </c>
      <c r="G25" s="175">
        <v>549</v>
      </c>
      <c r="H25" s="175">
        <v>832.16093999999998</v>
      </c>
      <c r="I25" s="175">
        <v>670.56209999999999</v>
      </c>
    </row>
    <row r="26" spans="1:10" ht="18" customHeight="1">
      <c r="A26" s="163" t="s">
        <v>492</v>
      </c>
      <c r="B26" s="175">
        <v>140.76122043999999</v>
      </c>
      <c r="C26" s="175">
        <v>161.8526531485</v>
      </c>
      <c r="D26" s="175">
        <v>161.9417240745</v>
      </c>
      <c r="E26" s="175">
        <v>147.99260566200002</v>
      </c>
      <c r="F26" s="175">
        <v>151.76814505600001</v>
      </c>
      <c r="G26" s="175">
        <v>133</v>
      </c>
      <c r="H26" s="175">
        <v>147.69673852</v>
      </c>
      <c r="I26" s="175">
        <v>140.53588658000001</v>
      </c>
    </row>
    <row r="27" spans="1:10" ht="18" customHeight="1">
      <c r="A27" s="170" t="s">
        <v>505</v>
      </c>
      <c r="B27" s="178">
        <v>0.1</v>
      </c>
      <c r="C27" s="178">
        <v>0.1</v>
      </c>
      <c r="D27" s="178">
        <v>0.1</v>
      </c>
      <c r="E27" s="178">
        <v>0.1</v>
      </c>
      <c r="F27" s="178">
        <v>0.1</v>
      </c>
      <c r="G27" s="178">
        <v>0.1</v>
      </c>
      <c r="H27" s="178">
        <v>7.0023289454047094E-2</v>
      </c>
      <c r="I27" s="178">
        <v>7.0023289454047094E-2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64"/>
      <c r="G29" s="164"/>
      <c r="H29" s="164"/>
      <c r="I29" s="164"/>
    </row>
    <row r="30" spans="1:10" ht="18" customHeight="1">
      <c r="A30" s="163" t="s">
        <v>504</v>
      </c>
      <c r="B30" s="162">
        <v>89822</v>
      </c>
      <c r="C30" s="162">
        <v>83167</v>
      </c>
      <c r="D30" s="162">
        <v>52743</v>
      </c>
      <c r="E30" s="162">
        <v>27055</v>
      </c>
      <c r="F30" s="162">
        <v>36824</v>
      </c>
      <c r="G30" s="162">
        <v>41417</v>
      </c>
      <c r="H30" s="162">
        <v>41520</v>
      </c>
      <c r="I30" s="162">
        <v>45455</v>
      </c>
    </row>
    <row r="31" spans="1:10" ht="18" customHeight="1">
      <c r="A31" s="163" t="s">
        <v>502</v>
      </c>
      <c r="B31" s="162">
        <v>11652</v>
      </c>
      <c r="C31" s="162">
        <v>10925</v>
      </c>
      <c r="D31" s="162">
        <v>10064</v>
      </c>
      <c r="E31" s="162">
        <v>10377</v>
      </c>
      <c r="F31" s="162">
        <v>10189</v>
      </c>
      <c r="G31" s="162">
        <v>10714</v>
      </c>
      <c r="H31" s="162">
        <v>11295</v>
      </c>
      <c r="I31" s="162">
        <v>8644</v>
      </c>
    </row>
    <row r="32" spans="1:10" ht="18" customHeight="1">
      <c r="A32" s="163" t="s">
        <v>480</v>
      </c>
      <c r="B32" s="162">
        <v>94</v>
      </c>
      <c r="C32" s="162">
        <v>100</v>
      </c>
      <c r="D32" s="162">
        <v>150</v>
      </c>
      <c r="E32" s="162">
        <v>114</v>
      </c>
      <c r="F32" s="162">
        <v>106</v>
      </c>
      <c r="G32" s="162">
        <v>102</v>
      </c>
      <c r="H32" s="162">
        <v>215</v>
      </c>
      <c r="I32" s="162">
        <v>107</v>
      </c>
    </row>
    <row r="33" spans="1:9" ht="18" customHeight="1">
      <c r="A33" s="163" t="s">
        <v>481</v>
      </c>
      <c r="B33" s="162">
        <v>100</v>
      </c>
      <c r="C33" s="162">
        <v>100</v>
      </c>
      <c r="D33" s="162">
        <v>100</v>
      </c>
      <c r="E33" s="162">
        <v>100</v>
      </c>
      <c r="F33" s="162">
        <v>100</v>
      </c>
      <c r="G33" s="162">
        <v>100</v>
      </c>
      <c r="H33" s="162">
        <v>100</v>
      </c>
      <c r="I33" s="162">
        <v>100</v>
      </c>
    </row>
    <row r="34" spans="1:9" ht="18" customHeight="1">
      <c r="A34" s="163" t="s">
        <v>491</v>
      </c>
      <c r="B34" s="162">
        <v>345</v>
      </c>
      <c r="C34" s="162">
        <v>745</v>
      </c>
      <c r="D34" s="162">
        <v>705</v>
      </c>
      <c r="E34" s="162">
        <v>409</v>
      </c>
      <c r="F34" s="162">
        <v>210</v>
      </c>
      <c r="G34" s="162">
        <v>196</v>
      </c>
      <c r="H34" s="162">
        <v>125</v>
      </c>
      <c r="I34" s="162">
        <v>163</v>
      </c>
    </row>
    <row r="35" spans="1:9" ht="17.25" customHeight="1">
      <c r="A35" s="163" t="s">
        <v>482</v>
      </c>
      <c r="B35" s="162">
        <v>100</v>
      </c>
      <c r="C35" s="162">
        <v>100</v>
      </c>
      <c r="D35" s="162">
        <v>100</v>
      </c>
      <c r="E35" s="162">
        <v>100</v>
      </c>
      <c r="F35" s="162">
        <v>100</v>
      </c>
      <c r="G35" s="162">
        <v>100</v>
      </c>
      <c r="H35" s="162">
        <v>100</v>
      </c>
      <c r="I35" s="162">
        <v>100</v>
      </c>
    </row>
    <row r="36" spans="1:9" ht="31.5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FF"/>
    <pageSetUpPr fitToPage="1"/>
  </sheetPr>
  <dimension ref="A1:XFD36"/>
  <sheetViews>
    <sheetView view="pageBreakPreview" zoomScaleNormal="100" zoomScaleSheetLayoutView="100" workbookViewId="0"/>
  </sheetViews>
  <sheetFormatPr defaultColWidth="11.453125" defaultRowHeight="12.5"/>
  <cols>
    <col min="1" max="1" width="68.81640625" style="56" customWidth="1"/>
    <col min="2" max="9" width="11.7265625" style="56" customWidth="1"/>
    <col min="10" max="16384" width="11.453125" style="56"/>
  </cols>
  <sheetData>
    <row r="1" spans="1:16384" ht="16" thickBot="1">
      <c r="A1" s="186" t="s">
        <v>425</v>
      </c>
      <c r="B1" s="150"/>
      <c r="C1" s="150"/>
      <c r="D1" s="150"/>
      <c r="E1" s="150"/>
      <c r="F1" s="150"/>
      <c r="G1" s="150"/>
      <c r="H1" s="150"/>
      <c r="I1" s="151"/>
    </row>
    <row r="2" spans="1:16384" ht="28.5" customHeight="1">
      <c r="A2" s="168" t="s">
        <v>489</v>
      </c>
      <c r="B2" s="152">
        <v>2012</v>
      </c>
      <c r="C2" s="153">
        <v>2013</v>
      </c>
      <c r="D2" s="154">
        <v>2014</v>
      </c>
      <c r="E2" s="155">
        <v>2015</v>
      </c>
      <c r="F2" s="156">
        <v>2016</v>
      </c>
      <c r="G2" s="188">
        <v>2017</v>
      </c>
      <c r="H2" s="189">
        <v>2018</v>
      </c>
      <c r="I2" s="191">
        <v>2019</v>
      </c>
    </row>
    <row r="3" spans="1:16384" ht="15.75" customHeight="1">
      <c r="A3" s="164" t="s">
        <v>474</v>
      </c>
      <c r="B3" s="165"/>
      <c r="C3" s="165"/>
      <c r="D3" s="165"/>
      <c r="E3" s="165"/>
      <c r="F3" s="165"/>
      <c r="G3" s="165"/>
      <c r="H3" s="165"/>
      <c r="I3" s="165"/>
    </row>
    <row r="4" spans="1:16384" ht="18" customHeight="1">
      <c r="A4" s="159" t="s">
        <v>486</v>
      </c>
      <c r="B4" s="175">
        <v>4850</v>
      </c>
      <c r="C4" s="175">
        <v>4511</v>
      </c>
      <c r="D4" s="175">
        <v>4529</v>
      </c>
      <c r="E4" s="175">
        <v>5456</v>
      </c>
      <c r="F4" s="175">
        <v>7606</v>
      </c>
      <c r="G4" s="175">
        <v>4440</v>
      </c>
      <c r="H4" s="175">
        <v>4245</v>
      </c>
      <c r="I4" s="175">
        <v>3935</v>
      </c>
    </row>
    <row r="5" spans="1:16384" ht="18" customHeight="1">
      <c r="A5" s="159" t="s">
        <v>487</v>
      </c>
      <c r="B5" s="172">
        <v>61.6</v>
      </c>
      <c r="C5" s="172">
        <v>61</v>
      </c>
      <c r="D5" s="172">
        <v>60.8</v>
      </c>
      <c r="E5" s="172">
        <v>59.8</v>
      </c>
      <c r="F5" s="172">
        <v>49</v>
      </c>
      <c r="G5" s="172">
        <v>62</v>
      </c>
      <c r="H5" s="172">
        <v>62</v>
      </c>
      <c r="I5" s="172">
        <v>61</v>
      </c>
    </row>
    <row r="6" spans="1:16384" ht="18" customHeight="1">
      <c r="A6" s="159" t="s">
        <v>488</v>
      </c>
      <c r="B6" s="172">
        <v>0.125</v>
      </c>
      <c r="C6" s="172">
        <v>0.17</v>
      </c>
      <c r="D6" s="172">
        <v>25</v>
      </c>
      <c r="E6" s="172">
        <v>0.08</v>
      </c>
      <c r="F6" s="172">
        <v>0.09</v>
      </c>
      <c r="G6" s="172">
        <v>11</v>
      </c>
      <c r="H6" s="172">
        <v>54</v>
      </c>
      <c r="I6" s="172">
        <v>52</v>
      </c>
    </row>
    <row r="7" spans="1:16384" ht="18" customHeight="1">
      <c r="A7" s="167" t="s">
        <v>483</v>
      </c>
      <c r="B7" s="175">
        <v>940</v>
      </c>
      <c r="C7" s="175" t="s">
        <v>510</v>
      </c>
      <c r="D7" s="175">
        <v>498</v>
      </c>
      <c r="E7" s="175">
        <v>464</v>
      </c>
      <c r="F7" s="175">
        <v>1089</v>
      </c>
      <c r="G7" s="175">
        <v>717</v>
      </c>
      <c r="H7" s="175">
        <v>689</v>
      </c>
      <c r="I7" s="175">
        <v>829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ht="18" customHeight="1">
      <c r="A8" s="158"/>
      <c r="B8" s="161"/>
      <c r="C8" s="161"/>
      <c r="D8" s="161"/>
      <c r="E8" s="161"/>
      <c r="F8" s="161"/>
      <c r="G8" s="161"/>
      <c r="H8" s="161"/>
      <c r="I8" s="161"/>
    </row>
    <row r="9" spans="1:16384" ht="18" customHeight="1">
      <c r="A9" s="164" t="s">
        <v>473</v>
      </c>
      <c r="B9" s="184"/>
      <c r="C9" s="184"/>
      <c r="D9" s="184"/>
      <c r="E9" s="184"/>
      <c r="F9" s="184"/>
      <c r="G9" s="184"/>
      <c r="H9" s="184"/>
      <c r="I9" s="184"/>
    </row>
    <row r="10" spans="1:16384" ht="18" customHeight="1">
      <c r="A10" s="159" t="s">
        <v>490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16384" ht="18" customHeight="1">
      <c r="A11" s="159" t="s">
        <v>515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</row>
    <row r="12" spans="1:16384" ht="18" customHeight="1">
      <c r="A12" s="159" t="s">
        <v>500</v>
      </c>
      <c r="B12" s="173">
        <v>0.09</v>
      </c>
      <c r="C12" s="173">
        <v>0.08</v>
      </c>
      <c r="D12" s="173">
        <v>7.0000000000000007E-2</v>
      </c>
      <c r="E12" s="173">
        <v>0</v>
      </c>
      <c r="F12" s="173">
        <v>0</v>
      </c>
      <c r="G12" s="173">
        <v>0</v>
      </c>
      <c r="H12" s="173">
        <v>0.27</v>
      </c>
      <c r="I12" s="173">
        <v>0.22</v>
      </c>
    </row>
    <row r="13" spans="1:16384" ht="18" customHeight="1">
      <c r="A13" s="159" t="s">
        <v>501</v>
      </c>
      <c r="B13" s="173">
        <v>1.0900000000000001</v>
      </c>
      <c r="C13" s="173">
        <v>0.87</v>
      </c>
      <c r="D13" s="174">
        <v>0.56000000000000005</v>
      </c>
      <c r="E13" s="173">
        <v>0.61</v>
      </c>
      <c r="F13" s="173">
        <v>0.79</v>
      </c>
      <c r="G13" s="173">
        <v>0.82</v>
      </c>
      <c r="H13" s="173">
        <v>0.77</v>
      </c>
      <c r="I13" s="173">
        <v>0.89</v>
      </c>
    </row>
    <row r="14" spans="1:16384" ht="18" customHeight="1">
      <c r="A14" s="158"/>
      <c r="B14" s="161"/>
      <c r="C14" s="161"/>
      <c r="D14" s="161"/>
      <c r="E14" s="161"/>
      <c r="F14" s="161"/>
      <c r="G14" s="161"/>
      <c r="H14" s="161"/>
      <c r="I14" s="161"/>
    </row>
    <row r="15" spans="1:16384" ht="18" customHeight="1">
      <c r="A15" s="164" t="s">
        <v>475</v>
      </c>
      <c r="B15" s="164"/>
      <c r="C15" s="164"/>
      <c r="D15" s="164"/>
      <c r="E15" s="164"/>
      <c r="F15" s="177"/>
      <c r="G15" s="177"/>
      <c r="H15" s="177"/>
      <c r="I15" s="177"/>
    </row>
    <row r="16" spans="1:16384" ht="18" customHeight="1">
      <c r="A16" s="163" t="s">
        <v>494</v>
      </c>
      <c r="B16" s="172" t="s">
        <v>510</v>
      </c>
      <c r="C16" s="172" t="s">
        <v>510</v>
      </c>
      <c r="D16" s="172" t="s">
        <v>510</v>
      </c>
      <c r="E16" s="175">
        <v>1876</v>
      </c>
      <c r="F16" s="175">
        <v>2533</v>
      </c>
      <c r="G16" s="175">
        <v>2586</v>
      </c>
      <c r="H16" s="175">
        <v>3676</v>
      </c>
      <c r="I16" s="175">
        <v>3464</v>
      </c>
    </row>
    <row r="17" spans="1:10" ht="18" customHeight="1">
      <c r="A17" s="159" t="s">
        <v>476</v>
      </c>
      <c r="B17" s="172">
        <v>139</v>
      </c>
      <c r="C17" s="172">
        <v>167</v>
      </c>
      <c r="D17" s="172">
        <v>313</v>
      </c>
      <c r="E17" s="172">
        <v>374</v>
      </c>
      <c r="F17" s="172">
        <v>433</v>
      </c>
      <c r="G17" s="172">
        <v>569</v>
      </c>
      <c r="H17" s="172">
        <v>893</v>
      </c>
      <c r="I17" s="172">
        <v>891</v>
      </c>
    </row>
    <row r="18" spans="1:10" ht="18" customHeight="1">
      <c r="A18" s="159" t="s">
        <v>495</v>
      </c>
      <c r="B18" s="172">
        <v>0</v>
      </c>
      <c r="C18" s="172">
        <v>0</v>
      </c>
      <c r="D18" s="172">
        <v>0</v>
      </c>
      <c r="E18" s="172">
        <v>0</v>
      </c>
      <c r="F18" s="172">
        <v>1</v>
      </c>
      <c r="G18" s="172">
        <v>0</v>
      </c>
      <c r="H18" s="172">
        <v>0</v>
      </c>
      <c r="I18" s="172">
        <v>0</v>
      </c>
    </row>
    <row r="19" spans="1:10" ht="18" customHeight="1">
      <c r="A19" s="163" t="s">
        <v>493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100</v>
      </c>
    </row>
    <row r="20" spans="1:10" ht="18" customHeight="1">
      <c r="A20" s="158"/>
      <c r="B20" s="161"/>
      <c r="C20" s="161"/>
      <c r="D20" s="161"/>
      <c r="E20" s="161"/>
      <c r="F20" s="161"/>
      <c r="G20" s="161"/>
      <c r="H20" s="161"/>
      <c r="I20" s="161"/>
    </row>
    <row r="21" spans="1:10" ht="18" customHeight="1">
      <c r="A21" s="164" t="s">
        <v>477</v>
      </c>
      <c r="B21" s="164"/>
      <c r="C21" s="164"/>
      <c r="D21" s="164"/>
      <c r="E21" s="164"/>
      <c r="F21" s="177"/>
      <c r="G21" s="177"/>
      <c r="H21" s="177"/>
      <c r="I21" s="177"/>
    </row>
    <row r="22" spans="1:10" ht="18" customHeight="1">
      <c r="A22" s="163" t="s">
        <v>514</v>
      </c>
      <c r="B22" s="175">
        <v>171056.92032760003</v>
      </c>
      <c r="C22" s="175">
        <v>173695.30884099999</v>
      </c>
      <c r="D22" s="175">
        <v>185313.55869020001</v>
      </c>
      <c r="E22" s="175">
        <v>198808.16973765599</v>
      </c>
      <c r="F22" s="175">
        <v>259685.69065159999</v>
      </c>
      <c r="G22" s="175">
        <v>293938</v>
      </c>
      <c r="H22" s="175">
        <v>437841.25177779299</v>
      </c>
      <c r="I22" s="175">
        <v>359615.73297197302</v>
      </c>
      <c r="J22" s="171"/>
    </row>
    <row r="23" spans="1:10" ht="18" customHeight="1">
      <c r="A23" s="163" t="s">
        <v>513</v>
      </c>
      <c r="B23" s="175">
        <v>6230.4829469999995</v>
      </c>
      <c r="C23" s="175">
        <v>4666.900095</v>
      </c>
      <c r="D23" s="175">
        <v>5379.1468860000004</v>
      </c>
      <c r="E23" s="175">
        <v>6537.6987110559994</v>
      </c>
      <c r="F23" s="175">
        <v>10481.9116916</v>
      </c>
      <c r="G23" s="175">
        <v>8200</v>
      </c>
      <c r="H23" s="175">
        <v>8012.036719193</v>
      </c>
      <c r="I23" s="175">
        <v>8618.4975203729991</v>
      </c>
      <c r="J23" s="171"/>
    </row>
    <row r="24" spans="1:10" ht="18" customHeight="1">
      <c r="A24" s="163" t="s">
        <v>511</v>
      </c>
      <c r="B24" s="175">
        <v>160507.48000000001</v>
      </c>
      <c r="C24" s="175">
        <v>164936.38</v>
      </c>
      <c r="D24" s="175">
        <v>175969.28</v>
      </c>
      <c r="E24" s="175">
        <v>187120.73499499998</v>
      </c>
      <c r="F24" s="175">
        <v>239776.00200000001</v>
      </c>
      <c r="G24" s="175">
        <v>278549</v>
      </c>
      <c r="H24" s="175">
        <v>422915.07999999996</v>
      </c>
      <c r="I24" s="175">
        <v>343700.72</v>
      </c>
    </row>
    <row r="25" spans="1:10" ht="18" customHeight="1">
      <c r="A25" s="163" t="s">
        <v>512</v>
      </c>
      <c r="B25" s="175">
        <v>4318.9573805999999</v>
      </c>
      <c r="C25" s="175">
        <v>4092.028746</v>
      </c>
      <c r="D25" s="175">
        <v>3965.1318042000003</v>
      </c>
      <c r="E25" s="175">
        <v>5149.7360316000004</v>
      </c>
      <c r="F25" s="175">
        <v>9427.7769599999992</v>
      </c>
      <c r="G25" s="175">
        <v>7189</v>
      </c>
      <c r="H25" s="175">
        <v>6914.1350585999999</v>
      </c>
      <c r="I25" s="175">
        <v>7296.5154516000002</v>
      </c>
    </row>
    <row r="26" spans="1:10" ht="18" customHeight="1">
      <c r="A26" s="163" t="s">
        <v>492</v>
      </c>
      <c r="B26" s="175">
        <v>426.6</v>
      </c>
      <c r="C26" s="175">
        <v>353.3</v>
      </c>
      <c r="D26" s="175">
        <v>380.3</v>
      </c>
      <c r="E26" s="175">
        <v>412.4</v>
      </c>
      <c r="F26" s="175">
        <v>567.1</v>
      </c>
      <c r="G26" s="175">
        <v>592</v>
      </c>
      <c r="H26" s="175">
        <v>892.27396812107997</v>
      </c>
      <c r="I26" s="175">
        <v>790.14173009427998</v>
      </c>
    </row>
    <row r="27" spans="1:10" ht="18" customHeight="1">
      <c r="A27" s="170" t="s">
        <v>505</v>
      </c>
      <c r="B27" s="178">
        <v>1.4</v>
      </c>
      <c r="C27" s="178">
        <v>1.42</v>
      </c>
      <c r="D27" s="178">
        <v>1.7</v>
      </c>
      <c r="E27" s="178">
        <v>1.95</v>
      </c>
      <c r="F27" s="178">
        <v>2.2799999999999998</v>
      </c>
      <c r="G27" s="178">
        <v>2.9</v>
      </c>
      <c r="H27" s="178">
        <v>3.4379477747616498</v>
      </c>
      <c r="I27" s="178">
        <v>4.0868051434837396</v>
      </c>
    </row>
    <row r="28" spans="1:10" ht="18" customHeight="1">
      <c r="A28" s="166"/>
      <c r="B28" s="161"/>
      <c r="C28" s="161"/>
      <c r="D28" s="161"/>
      <c r="E28" s="161"/>
      <c r="F28" s="161"/>
      <c r="G28" s="161"/>
      <c r="H28" s="161"/>
      <c r="I28" s="161"/>
    </row>
    <row r="29" spans="1:10" ht="18" customHeight="1">
      <c r="A29" s="164" t="s">
        <v>479</v>
      </c>
      <c r="B29" s="164"/>
      <c r="C29" s="164"/>
      <c r="D29" s="164"/>
      <c r="E29" s="164"/>
      <c r="F29" s="177"/>
      <c r="G29" s="177"/>
      <c r="H29" s="177"/>
      <c r="I29" s="177"/>
    </row>
    <row r="30" spans="1:10" ht="18" customHeight="1">
      <c r="A30" s="163" t="s">
        <v>504</v>
      </c>
      <c r="B30" s="175">
        <v>5949</v>
      </c>
      <c r="C30" s="175">
        <v>5280</v>
      </c>
      <c r="D30" s="175">
        <v>783</v>
      </c>
      <c r="E30" s="175">
        <v>980082</v>
      </c>
      <c r="F30" s="175">
        <v>191266</v>
      </c>
      <c r="G30" s="175">
        <v>63780</v>
      </c>
      <c r="H30" s="175">
        <v>190942</v>
      </c>
      <c r="I30" s="175">
        <v>94161</v>
      </c>
    </row>
    <row r="31" spans="1:10" ht="18" customHeight="1">
      <c r="A31" s="163" t="s">
        <v>502</v>
      </c>
      <c r="B31" s="175">
        <v>104282</v>
      </c>
      <c r="C31" s="175">
        <v>87013</v>
      </c>
      <c r="D31" s="175">
        <v>51885</v>
      </c>
      <c r="E31" s="175">
        <v>94640</v>
      </c>
      <c r="F31" s="175">
        <v>74714</v>
      </c>
      <c r="G31" s="175">
        <v>68980</v>
      </c>
      <c r="H31" s="175">
        <v>63855</v>
      </c>
      <c r="I31" s="175">
        <v>75819</v>
      </c>
    </row>
    <row r="32" spans="1:10" ht="18" customHeight="1">
      <c r="A32" s="163" t="s">
        <v>480</v>
      </c>
      <c r="B32" s="175">
        <v>282</v>
      </c>
      <c r="C32" s="175">
        <v>149</v>
      </c>
      <c r="D32" s="175">
        <v>330</v>
      </c>
      <c r="E32" s="175">
        <v>320</v>
      </c>
      <c r="F32" s="175">
        <v>269</v>
      </c>
      <c r="G32" s="175">
        <v>256</v>
      </c>
      <c r="H32" s="175">
        <v>249</v>
      </c>
      <c r="I32" s="175">
        <v>281</v>
      </c>
    </row>
    <row r="33" spans="1:9" ht="18" customHeight="1">
      <c r="A33" s="163" t="s">
        <v>481</v>
      </c>
      <c r="B33" s="175">
        <v>40.700000000000003</v>
      </c>
      <c r="C33" s="175">
        <v>5.7</v>
      </c>
      <c r="D33" s="175">
        <v>8.1</v>
      </c>
      <c r="E33" s="175">
        <v>8.42</v>
      </c>
      <c r="F33" s="175">
        <v>15.2</v>
      </c>
      <c r="G33" s="175">
        <v>26</v>
      </c>
      <c r="H33" s="175">
        <v>6</v>
      </c>
      <c r="I33" s="175">
        <v>0</v>
      </c>
    </row>
    <row r="34" spans="1:9" ht="18" customHeight="1">
      <c r="A34" s="163" t="s">
        <v>491</v>
      </c>
      <c r="B34" s="175">
        <v>2.6</v>
      </c>
      <c r="C34" s="175">
        <v>334</v>
      </c>
      <c r="D34" s="175">
        <v>1461</v>
      </c>
      <c r="E34" s="175">
        <v>8</v>
      </c>
      <c r="F34" s="175">
        <v>1</v>
      </c>
      <c r="G34" s="175">
        <v>15</v>
      </c>
      <c r="H34" s="175">
        <v>0</v>
      </c>
      <c r="I34" s="175">
        <v>0</v>
      </c>
    </row>
    <row r="35" spans="1:9" ht="18" customHeight="1">
      <c r="A35" s="163" t="s">
        <v>482</v>
      </c>
      <c r="B35" s="175">
        <v>98.8</v>
      </c>
      <c r="C35" s="175">
        <v>54.5</v>
      </c>
      <c r="D35" s="175">
        <v>99.9</v>
      </c>
      <c r="E35" s="175">
        <v>65.5</v>
      </c>
      <c r="F35" s="175">
        <v>0</v>
      </c>
      <c r="G35" s="175">
        <v>0</v>
      </c>
      <c r="H35" s="175">
        <v>0</v>
      </c>
      <c r="I35" s="175">
        <v>0</v>
      </c>
    </row>
    <row r="36" spans="1:9" ht="33" customHeight="1">
      <c r="A36" s="148" t="s">
        <v>413</v>
      </c>
    </row>
  </sheetData>
  <pageMargins left="0.24" right="0.24" top="0.984251969" bottom="0.984251969" header="0.5" footer="0.5"/>
  <pageSetup paperSize="9" scale="62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 and summary" ma:contentTypeID="0x0101006D399FD464004C9BB7D74AF768EDCBD23004002DC0D72769F3D148AA82FE9A8C1F8E1F" ma:contentTypeVersion="5" ma:contentTypeDescription="Report and summary are documents characterized by information or other content reflective of inquiry or investigation, which is tailored to the context of a given situation and audience. The purpose of reports is usually to inform." ma:contentTypeScope="" ma:versionID="ae6158fc6c8396322cc8541e454cf959">
  <xsd:schema xmlns:xsd="http://www.w3.org/2001/XMLSchema" xmlns:p="http://schemas.microsoft.com/office/2006/metadata/properties" xmlns:ns1="http://schemas.microsoft.com/sharepoint/v3" xmlns:ns2="f46af90b-0c71-4022-a74e-bf7f4981db53" targetNamespace="http://schemas.microsoft.com/office/2006/metadata/properties" ma:root="true" ma:fieldsID="6a438628900ce9c2df9e019fee1641da" ns1:_="" ns2:_="">
    <xsd:import namespace="http://schemas.microsoft.com/sharepoint/v3"/>
    <xsd:import namespace="f46af90b-0c71-4022-a74e-bf7f4981db53"/>
    <xsd:element name="properties">
      <xsd:complexType>
        <xsd:sequence>
          <xsd:element name="documentManagement">
            <xsd:complexType>
              <xsd:all>
                <xsd:element ref="ns2:WoWConfidentiality"/>
                <xsd:element ref="ns2:WoWDocumentDate"/>
                <xsd:element ref="ns1:WoWContentOwner"/>
                <xsd:element ref="ns2:WoWUniqueId" minOccurs="0"/>
                <xsd:element ref="ns2:WoWLink" minOccurs="0"/>
                <xsd:element ref="ns2:WoWRecordDate" minOccurs="0"/>
                <xsd:element ref="ns2:about" minOccurs="0"/>
                <xsd:element ref="ns2:WoWArchivePeriod" minOccurs="0"/>
                <xsd:element ref="ns2:Quarterly_x0020_Reporting" minOccurs="0"/>
                <xsd:element ref="ns2:OpCo" minOccurs="0"/>
                <xsd:element ref="ns2:Month" minOccurs="0"/>
                <xsd:element ref="ns2:Year" minOccurs="0"/>
                <xsd:element ref="ns2:Topic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WoWContentOwner" ma:index="10" ma:displayName="Information Owner" ma:description="Person responsible for the document content, either the writer of the document or a person the writer works on behalf of" ma:list="UserInfo" ma:internalName="WoWContentOwner" ma:showField="ImnNam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f46af90b-0c71-4022-a74e-bf7f4981db53" elementFormDefault="qualified">
    <xsd:import namespace="http://schemas.microsoft.com/office/2006/documentManagement/types"/>
    <xsd:element name="WoWConfidentiality" ma:index="8" ma:displayName="Confidentiality" ma:default="Open" ma:description="Level of confidentiality" ma:format="Dropdown" ma:internalName="WoWConfidentiality">
      <xsd:simpleType>
        <xsd:restriction base="dms:Choice">
          <xsd:enumeration value="Open"/>
          <xsd:enumeration value="Internal"/>
          <xsd:enumeration value="Confidential"/>
        </xsd:restriction>
      </xsd:simpleType>
    </xsd:element>
    <xsd:element name="WoWDocumentDate" ma:index="9" ma:displayName="Document Date" ma:default="[today]" ma:description="Consider for each document what the relevant date is. For historical documents, please change the date" ma:format="DateOnly" ma:internalName="WoWDocumentDate">
      <xsd:simpleType>
        <xsd:restriction base="dms:DateTime"/>
      </xsd:simpleType>
    </xsd:element>
    <xsd:element name="WoWUniqueId" ma:index="11" nillable="true" ma:displayName="Unique ID" ma:description="" ma:hidden="true" ma:internalName="WoWUniqueId">
      <xsd:simpleType>
        <xsd:restriction base="dms:Unknown"/>
      </xsd:simpleType>
    </xsd:element>
    <xsd:element name="WoWLink" ma:index="12" nillable="true" ma:displayName="Link" ma:description="Use this link when referencing this item in emails and other documents; it will always point to the latest version even when the document is moved to another location." ma:hidden="true" ma:internalName="WoWLink">
      <xsd:simpleType>
        <xsd:restriction base="dms:Unknown"/>
      </xsd:simpleType>
    </xsd:element>
    <xsd:element name="WoWRecordDate" ma:index="13" nillable="true" ma:displayName="Record Date" ma:description="" ma:hidden="true" ma:internalName="WoWRecordDate">
      <xsd:simpleType>
        <xsd:restriction base="dms:Unknown"/>
      </xsd:simpleType>
    </xsd:element>
    <xsd:element name="about" ma:index="14" nillable="true" ma:displayName="Related Topic Pages" ma:description="Related Topic Pages" ma:hidden="true" ma:internalName="about">
      <xsd:simpleType>
        <xsd:restriction base="dms:Unknown"/>
      </xsd:simpleType>
    </xsd:element>
    <xsd:element name="WoWArchivePeriod" ma:index="15" nillable="true" ma:displayName="Archive Period" ma:default="StandardPolicy" ma:description="Nominates the document to become a record, and/or defines how long the document should be kept" ma:format="Dropdown" ma:hidden="true" ma:internalName="WoWArchivePeriod">
      <xsd:simpleType>
        <xsd:restriction base="dms:Choice">
          <xsd:enumeration value="StandardPolicy"/>
          <xsd:enumeration value="Short"/>
          <xsd:enumeration value="Long"/>
          <xsd:enumeration value="Forever"/>
        </xsd:restriction>
      </xsd:simpleType>
    </xsd:element>
    <xsd:element name="Quarterly_x0020_Reporting" ma:index="16" nillable="true" ma:displayName="Category" ma:format="Dropdown" ma:internalName="Quarterly_x0020_Reporting" ma:readOnly="false">
      <xsd:simpleType>
        <xsd:restriction base="dms:Choice">
          <xsd:enumeration value="00 Reporting plan"/>
          <xsd:enumeration value="01 External Report"/>
          <xsd:enumeration value="01 Input Business Manager"/>
          <xsd:enumeration value="01 External Presentation"/>
          <xsd:enumeration value="02 Table file for external report"/>
          <xsd:enumeration value="02 WEB file"/>
          <xsd:enumeration value="02 Table file support files"/>
          <xsd:enumeration value="03 Checklist templates"/>
          <xsd:enumeration value="03 Controlling checklists"/>
          <xsd:enumeration value="04 Company file template"/>
          <xsd:enumeration value="04 Company files"/>
          <xsd:enumeration value="04 Supporting files"/>
          <xsd:enumeration value="Benchmarking"/>
          <xsd:enumeration value="Cheat sheet"/>
          <xsd:enumeration value="Consensus"/>
          <xsd:enumeration value="Definitions"/>
          <xsd:enumeration value="Forecast"/>
          <xsd:enumeration value="Forecast assessment"/>
          <xsd:enumeration value="FR minutes"/>
          <xsd:enumeration value="Group presentations"/>
          <xsd:enumeration value="Issues to FR from BM"/>
          <xsd:enumeration value="Management Reports"/>
          <xsd:enumeration value="Mobile data and technical OPEX"/>
          <xsd:enumeration value="Monthly Report to BoD"/>
          <xsd:enumeration value="Non-financial reporting"/>
          <xsd:enumeration value="Roaming files"/>
          <xsd:enumeration value="Short Status"/>
          <xsd:enumeration value="Summary files"/>
          <xsd:enumeration value="Supporting files"/>
          <xsd:enumeration value="Template"/>
          <xsd:enumeration value="Weekly minutes"/>
          <xsd:enumeration value="N/A"/>
        </xsd:restriction>
      </xsd:simpleType>
    </xsd:element>
    <xsd:element name="OpCo" ma:index="17" nillable="true" ma:displayName="Entity" ma:format="Dropdown" ma:internalName="OpCo">
      <xsd:simpleType>
        <xsd:restriction base="dms:Choice">
          <xsd:enumeration value="Telenor Group"/>
          <xsd:enumeration value="Telenor Norway"/>
          <xsd:enumeration value="Telenor Sweden"/>
          <xsd:enumeration value="Telenor Denmark"/>
          <xsd:enumeration value="Kyivstar"/>
          <xsd:enumeration value="Telenor Hungary"/>
          <xsd:enumeration value="Pannon"/>
          <xsd:enumeration value="Telenor Serbia"/>
          <xsd:enumeration value="Telenor Montenegro"/>
          <xsd:enumeration value="Promonte"/>
          <xsd:enumeration value="DTAC"/>
          <xsd:enumeration value="DiGi"/>
          <xsd:enumeration value="Grameenphone"/>
          <xsd:enumeration value="Telenor Pakistan"/>
          <xsd:enumeration value="Uninor"/>
          <xsd:enumeration value="Broadcast"/>
          <xsd:enumeration value="Other businesses"/>
          <xsd:enumeration value="Associated companies"/>
          <xsd:enumeration value="FRC/CPA Internal"/>
          <xsd:enumeration value="Nordic"/>
          <xsd:enumeration value="CEE"/>
          <xsd:enumeration value="Asia"/>
          <xsd:enumeration value="N/A"/>
        </xsd:restriction>
      </xsd:simpleType>
    </xsd:element>
    <xsd:element name="Month" ma:index="18" nillable="true" ma:displayName="Period" ma:format="Dropdown" ma:internalName="Month" ma:readOnly="false">
      <xsd:simpleType>
        <xsd:restriction base="dms:Choice">
          <xsd:enumeration value="00 Annual"/>
          <xsd:enumeration value="01 January"/>
          <xsd:enumeration value="02 February"/>
          <xsd:enumeration value="03 March (Q1)"/>
          <xsd:enumeration value="04 April"/>
          <xsd:enumeration value="05 May"/>
          <xsd:enumeration value="06 June (Q2)"/>
          <xsd:enumeration value="07 July"/>
          <xsd:enumeration value="08 August"/>
          <xsd:enumeration value="09 September (Q3)"/>
          <xsd:enumeration value="10 October"/>
          <xsd:enumeration value="11 November"/>
          <xsd:enumeration value="12 December (Q4)"/>
        </xsd:restriction>
      </xsd:simpleType>
    </xsd:element>
    <xsd:element name="Year" ma:index="19" nillable="true" ma:displayName="Year" ma:format="Dropdown" ma:internalName="Year" ma:readOnly="false">
      <xsd:simpleType>
        <xsd:restriction base="dms:Choice"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OLD"/>
        </xsd:restriction>
      </xsd:simpleType>
    </xsd:element>
    <xsd:element name="TopicId" ma:index="20" nillable="true" ma:displayName="TopicId" ma:internalName="TopicId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WoWArchivePeriod xmlns="f46af90b-0c71-4022-a74e-bf7f4981db53">StandardPolicy</WoWArchivePeriod>
    <Quarterly_x0020_Reporting xmlns="f46af90b-0c71-4022-a74e-bf7f4981db53">02 Table file for external report</Quarterly_x0020_Reporting>
    <WoWContentOwner xmlns="http://schemas.microsoft.com/sharepoint/v3">61</WoWContentOwner>
    <OpCo xmlns="f46af90b-0c71-4022-a74e-bf7f4981db53">Telenor Group</OpCo>
    <WoWConfidentiality xmlns="f46af90b-0c71-4022-a74e-bf7f4981db53">Confidential</WoWConfidentiality>
    <Year xmlns="f46af90b-0c71-4022-a74e-bf7f4981db53">2011</Year>
    <WoWRecordDate xmlns="f46af90b-0c71-4022-a74e-bf7f4981db53" xsi:nil="true"/>
    <Month xmlns="f46af90b-0c71-4022-a74e-bf7f4981db53">09 September (Q3)</Month>
    <WoWUniqueId xmlns="f46af90b-0c71-4022-a74e-bf7f4981db53">zB4HPCY4P0w</WoWUniqueId>
    <WoWDocumentDate xmlns="f46af90b-0c71-4022-a74e-bf7f4981db53">2017-08-24T22:00:00+00:00</WoWDocumentDate>
    <WoWLink xmlns="f46af90b-0c71-4022-a74e-bf7f4981db53">https://groupunits.sec.wow.telenor.com/sites/cpa/_layouts/TelenorWoW/ShowItem.aspx?ID=zB4HPCY4P0w, https://groupunits.sec.wow.telenor.com/sites/cpa/_layouts/TelenorWoW/ShowItem.aspx?ID=zB4HPCY4P0w</WoWLink>
    <about xmlns="f46af90b-0c71-4022-a74e-bf7f4981db53" xsi:nil="true"/>
  </documentManagement>
</p:properties>
</file>

<file path=customXml/itemProps1.xml><?xml version="1.0" encoding="utf-8"?>
<ds:datastoreItem xmlns:ds="http://schemas.openxmlformats.org/officeDocument/2006/customXml" ds:itemID="{738CEB94-F242-4188-81C1-02A6383E47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6FEC0-1417-4357-91C3-976DBDCC9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6af90b-0c71-4022-a74e-bf7f4981db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EF974DF-10ED-4599-A0A2-F36D5165870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5A8470-BA5D-4DC1-A92B-7199CF2D50F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f46af90b-0c71-4022-a74e-bf7f4981db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Other_DK (not in use)</vt:lpstr>
      <vt:lpstr>Web File adj Other for Q1-16</vt:lpstr>
      <vt:lpstr>EBITDA Contribution -brukes den</vt:lpstr>
      <vt:lpstr>Ark3</vt:lpstr>
      <vt:lpstr>GROUP</vt:lpstr>
      <vt:lpstr>Norway</vt:lpstr>
      <vt:lpstr>Denmark</vt:lpstr>
      <vt:lpstr>Sweden</vt:lpstr>
      <vt:lpstr>dtac</vt:lpstr>
      <vt:lpstr>digi</vt:lpstr>
      <vt:lpstr>Grameenphone</vt:lpstr>
      <vt:lpstr>Pakistan</vt:lpstr>
      <vt:lpstr>Myanmar</vt:lpstr>
      <vt:lpstr>Broadcast</vt:lpstr>
      <vt:lpstr>Other units</vt:lpstr>
      <vt:lpstr>Bulgaria</vt:lpstr>
      <vt:lpstr>Hungary</vt:lpstr>
      <vt:lpstr>Montenegro</vt:lpstr>
      <vt:lpstr>Serbia</vt:lpstr>
      <vt:lpstr>India</vt:lpstr>
      <vt:lpstr>Broadcast!Print_Area</vt:lpstr>
      <vt:lpstr>Bulgaria!Print_Area</vt:lpstr>
      <vt:lpstr>Denmark!Print_Area</vt:lpstr>
      <vt:lpstr>digi!Print_Area</vt:lpstr>
      <vt:lpstr>dtac!Print_Area</vt:lpstr>
      <vt:lpstr>Grameenphone!Print_Area</vt:lpstr>
      <vt:lpstr>GROUP!Print_Area</vt:lpstr>
      <vt:lpstr>Hungary!Print_Area</vt:lpstr>
      <vt:lpstr>India!Print_Area</vt:lpstr>
      <vt:lpstr>Montenegro!Print_Area</vt:lpstr>
      <vt:lpstr>Myanmar!Print_Area</vt:lpstr>
      <vt:lpstr>Norway!Print_Area</vt:lpstr>
      <vt:lpstr>'Other units'!Print_Area</vt:lpstr>
      <vt:lpstr>'Other_DK (not in use)'!Print_Area</vt:lpstr>
      <vt:lpstr>Pakistan!Print_Area</vt:lpstr>
      <vt:lpstr>Serbia!Print_Area</vt:lpstr>
      <vt:lpstr>Sweden!Print_Area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NFR Sustainability figures</dc:title>
  <dc:creator>Håkon Hatlevik;helge.oien@telenor.com</dc:creator>
  <cp:lastModifiedBy>Lome Eyvind</cp:lastModifiedBy>
  <cp:lastPrinted>2017-08-24T11:39:54Z</cp:lastPrinted>
  <dcterms:created xsi:type="dcterms:W3CDTF">2011-09-19T09:15:38Z</dcterms:created>
  <dcterms:modified xsi:type="dcterms:W3CDTF">2020-03-27T14:42:43Z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0x0101006D399FD464004C9BB7D74AF768EDCBD240010074CB494F1C8E4B4A82EB5311ED0A40E5</vt:lpwstr>
  </property>
  <property fmtid="{D5CDD505-2E9C-101B-9397-08002B2CF9AE}" pid="3" name="UniqueID">
    <vt:lpwstr>32b2c908-beeb-4938-8ff7-5ec7e410433e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