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bookViews>
    <workbookView xWindow="480" yWindow="270" windowWidth="14880" windowHeight="7365" tabRatio="498"/>
  </bookViews>
  <sheets>
    <sheet name="Telenor Q317 " sheetId="40" r:id="rId1"/>
    <sheet name="Telenor Q217" sheetId="39" r:id="rId2"/>
    <sheet name="Telenor Q117" sheetId="38" r:id="rId3"/>
    <sheet name="Telenor Q416 " sheetId="37" r:id="rId4"/>
    <sheet name="Telenor Q316" sheetId="36" r:id="rId5"/>
    <sheet name="Telenor Q216" sheetId="35" r:id="rId6"/>
    <sheet name="Telenor Q116" sheetId="34" r:id="rId7"/>
    <sheet name="Telenor Q415" sheetId="33" r:id="rId8"/>
    <sheet name="Telenor Q315" sheetId="31" r:id="rId9"/>
    <sheet name="Telenor Q215" sheetId="30" r:id="rId10"/>
    <sheet name="Telenor Q115" sheetId="29" r:id="rId11"/>
    <sheet name="Telenor Q414" sheetId="28" r:id="rId12"/>
    <sheet name="Telenor Q314" sheetId="27" r:id="rId13"/>
    <sheet name="Telenor Q214" sheetId="25" r:id="rId14"/>
    <sheet name="Telenor Q114" sheetId="26" r:id="rId15"/>
    <sheet name="Telenor Q413" sheetId="24" r:id="rId16"/>
    <sheet name="Telenor Q313" sheetId="23" r:id="rId17"/>
    <sheet name="Telenor Q213" sheetId="22" r:id="rId18"/>
    <sheet name="Telenor Q113" sheetId="21" r:id="rId19"/>
    <sheet name="Telenor Q412" sheetId="20" r:id="rId20"/>
    <sheet name="Telenor Q312" sheetId="19" r:id="rId21"/>
    <sheet name="Telenor Q212" sheetId="18" r:id="rId22"/>
    <sheet name="Telenor Q112" sheetId="17" r:id="rId23"/>
    <sheet name="Telenor Q411" sheetId="16" r:id="rId24"/>
    <sheet name="Telenor Q311" sheetId="15" r:id="rId25"/>
    <sheet name="Telenor Q211" sheetId="14" r:id="rId26"/>
    <sheet name="Telenor Q111" sheetId="12" r:id="rId27"/>
    <sheet name="Telenor Q410" sheetId="13" r:id="rId28"/>
    <sheet name="Telenor Q310" sheetId="8" r:id="rId29"/>
    <sheet name="Telenor Q210" sheetId="5" r:id="rId30"/>
    <sheet name="Telenor Q110" sheetId="4" r:id="rId31"/>
    <sheet name="Telenor Q409" sheetId="3" r:id="rId32"/>
    <sheet name="Telenor Q309" sheetId="2" r:id="rId33"/>
  </sheets>
  <definedNames>
    <definedName name="_xlnm.Print_Area" localSheetId="30">'Telenor Q110'!$B$2:$M$37</definedName>
    <definedName name="_xlnm.Print_Area" localSheetId="26">'Telenor Q111'!$A$1:$K$37</definedName>
    <definedName name="_xlnm.Print_Area" localSheetId="22">'Telenor Q112'!$A$1:$M$37</definedName>
    <definedName name="_xlnm.Print_Area" localSheetId="18">'Telenor Q113'!$A$1:$M$34</definedName>
    <definedName name="_xlnm.Print_Area" localSheetId="14">'Telenor Q114'!$A$1:$M$34</definedName>
    <definedName name="_xlnm.Print_Area" localSheetId="10">'Telenor Q115'!$A$1:$M$32</definedName>
    <definedName name="_xlnm.Print_Area" localSheetId="6">'Telenor Q116'!$A$1:$M$34</definedName>
    <definedName name="_xlnm.Print_Area" localSheetId="2">'Telenor Q117'!$A$1:$M$37</definedName>
    <definedName name="_xlnm.Print_Area" localSheetId="29">'Telenor Q210'!$B$2:$P$37</definedName>
    <definedName name="_xlnm.Print_Area" localSheetId="25">'Telenor Q211'!$A$1:$L$41</definedName>
    <definedName name="_xlnm.Print_Area" localSheetId="21">'Telenor Q212'!$A$1:$M$34</definedName>
    <definedName name="_xlnm.Print_Area" localSheetId="17">'Telenor Q213'!$A$1:$M$32</definedName>
    <definedName name="_xlnm.Print_Area" localSheetId="13">'Telenor Q214'!$A$1:$M$33</definedName>
    <definedName name="_xlnm.Print_Area" localSheetId="9">'Telenor Q215'!$A$1:$M$32</definedName>
    <definedName name="_xlnm.Print_Area" localSheetId="5">'Telenor Q216'!$A$1:$M$33</definedName>
    <definedName name="_xlnm.Print_Area" localSheetId="1">'Telenor Q217'!$A$1:$M$35</definedName>
    <definedName name="_xlnm.Print_Area" localSheetId="28">'Telenor Q310'!$A$1:$N$38</definedName>
    <definedName name="_xlnm.Print_Area" localSheetId="24">'Telenor Q311'!$A$1:$M$34</definedName>
    <definedName name="_xlnm.Print_Area" localSheetId="20">'Telenor Q312'!$A$1:$M$33</definedName>
    <definedName name="_xlnm.Print_Area" localSheetId="16">'Telenor Q313'!$A$1:$M$32</definedName>
    <definedName name="_xlnm.Print_Area" localSheetId="12">'Telenor Q314'!$A$1:$M$33</definedName>
    <definedName name="_xlnm.Print_Area" localSheetId="8">'Telenor Q315'!$A$1:$M$34</definedName>
    <definedName name="_xlnm.Print_Area" localSheetId="4">'Telenor Q316'!$A$1:$M$35</definedName>
    <definedName name="_xlnm.Print_Area" localSheetId="0">'Telenor Q317 '!$A$1:$M$28</definedName>
    <definedName name="_xlnm.Print_Area" localSheetId="27">'Telenor Q410'!$A$1:$K$37</definedName>
    <definedName name="_xlnm.Print_Area" localSheetId="23">'Telenor Q411'!$A$1:$M$44</definedName>
    <definedName name="_xlnm.Print_Area" localSheetId="19">'Telenor Q412'!$A$1:$M$36</definedName>
    <definedName name="_xlnm.Print_Area" localSheetId="15">'Telenor Q413'!$A$1:$M$37</definedName>
    <definedName name="_xlnm.Print_Area" localSheetId="11">'Telenor Q414'!$A$1:$M$34</definedName>
    <definedName name="_xlnm.Print_Area" localSheetId="7">'Telenor Q415'!$A$1:$M$36</definedName>
    <definedName name="_xlnm.Print_Area" localSheetId="3">'Telenor Q416 '!$A$1:$M$36</definedName>
  </definedNames>
  <calcPr calcId="145621"/>
</workbook>
</file>

<file path=xl/calcChain.xml><?xml version="1.0" encoding="utf-8"?>
<calcChain xmlns="http://schemas.openxmlformats.org/spreadsheetml/2006/main">
  <c r="E6" i="40" l="1"/>
  <c r="E16" i="40" s="1"/>
  <c r="F14" i="40"/>
  <c r="E14" i="40"/>
  <c r="F13" i="40"/>
  <c r="E13" i="40"/>
  <c r="F12" i="40"/>
  <c r="E12" i="40"/>
  <c r="F16" i="40"/>
  <c r="E15" i="40" l="1"/>
  <c r="E17" i="40" s="1"/>
  <c r="F15" i="40"/>
  <c r="F17" i="40" s="1"/>
  <c r="E5" i="40"/>
  <c r="F5" i="40"/>
  <c r="E6" i="39"/>
  <c r="E5" i="39" s="1"/>
  <c r="E12" i="39"/>
  <c r="F12" i="39"/>
  <c r="F14" i="39" l="1"/>
  <c r="F13" i="39"/>
  <c r="F15" i="39" s="1"/>
  <c r="F6" i="39"/>
  <c r="E16" i="39"/>
  <c r="E14" i="39"/>
  <c r="E13" i="39"/>
  <c r="F16" i="39" l="1"/>
  <c r="F5" i="39"/>
  <c r="F17" i="39"/>
  <c r="E15" i="39"/>
  <c r="E17" i="39" s="1"/>
  <c r="H16" i="38"/>
  <c r="H13" i="38"/>
  <c r="H14" i="38"/>
  <c r="G5" i="38"/>
  <c r="H5" i="38"/>
  <c r="G13" i="38"/>
  <c r="G14" i="38"/>
  <c r="G16" i="38"/>
  <c r="G15" i="38" l="1"/>
  <c r="G17" i="38" s="1"/>
  <c r="H15" i="38"/>
  <c r="H17" i="38" s="1"/>
  <c r="G6" i="37"/>
  <c r="G11" i="37" l="1"/>
  <c r="G9" i="37" l="1"/>
  <c r="G12" i="37" s="1"/>
  <c r="G5" i="37"/>
  <c r="H16" i="37" l="1"/>
  <c r="G16" i="37"/>
  <c r="H14" i="37"/>
  <c r="G14" i="37"/>
  <c r="H13" i="37"/>
  <c r="G13" i="37"/>
  <c r="H12" i="37"/>
  <c r="H5" i="37"/>
  <c r="G15" i="37" l="1"/>
  <c r="G17" i="37"/>
  <c r="H15" i="37"/>
  <c r="H17" i="37" s="1"/>
  <c r="H14" i="36"/>
  <c r="G5" i="36" l="1"/>
  <c r="H16" i="36"/>
  <c r="G16" i="36"/>
  <c r="G14" i="36"/>
  <c r="H13" i="36"/>
  <c r="G13" i="36"/>
  <c r="H12" i="36"/>
  <c r="G12" i="36"/>
  <c r="G15" i="36" s="1"/>
  <c r="G17" i="36" s="1"/>
  <c r="G9" i="36"/>
  <c r="H5" i="36"/>
  <c r="H15" i="36" l="1"/>
  <c r="H17" i="36" s="1"/>
  <c r="G6" i="35"/>
  <c r="G5" i="35" l="1"/>
  <c r="H16" i="35" l="1"/>
  <c r="H14" i="35"/>
  <c r="G14" i="35"/>
  <c r="G13" i="35"/>
  <c r="H12" i="35"/>
  <c r="G9" i="35"/>
  <c r="G12" i="35" s="1"/>
  <c r="H13" i="35"/>
  <c r="H5" i="35"/>
  <c r="G15" i="35" l="1"/>
  <c r="G16" i="35"/>
  <c r="H15" i="35"/>
  <c r="H17" i="35" s="1"/>
  <c r="G6" i="34"/>
  <c r="G17" i="35" l="1"/>
  <c r="G16" i="34"/>
  <c r="G9" i="34"/>
  <c r="G12" i="34" s="1"/>
  <c r="H8" i="34"/>
  <c r="H16" i="34"/>
  <c r="H14" i="34"/>
  <c r="G14" i="34"/>
  <c r="H13" i="34"/>
  <c r="G13" i="34"/>
  <c r="H12" i="34"/>
  <c r="H5" i="34"/>
  <c r="H15" i="34" l="1"/>
  <c r="H17" i="34" s="1"/>
  <c r="G15" i="34"/>
  <c r="G17" i="34" s="1"/>
  <c r="G5" i="34"/>
  <c r="G6" i="33"/>
  <c r="G5" i="33" l="1"/>
  <c r="H5" i="33"/>
  <c r="H16" i="33"/>
  <c r="H14" i="33"/>
  <c r="G14" i="33"/>
  <c r="H13" i="33"/>
  <c r="H9" i="33"/>
  <c r="H12" i="33" s="1"/>
  <c r="H15" i="33" s="1"/>
  <c r="H17" i="33" s="1"/>
  <c r="G9" i="33"/>
  <c r="G12" i="33" s="1"/>
  <c r="G16" i="33" l="1"/>
  <c r="G13" i="33"/>
  <c r="G15" i="33" s="1"/>
  <c r="G6" i="31"/>
  <c r="G17" i="33" l="1"/>
  <c r="G8" i="31"/>
  <c r="H5" i="31" l="1"/>
  <c r="G16" i="31"/>
  <c r="G9" i="31"/>
  <c r="G12" i="31" s="1"/>
  <c r="G15" i="31" s="1"/>
  <c r="H9" i="31"/>
  <c r="H12" i="31" s="1"/>
  <c r="G11" i="31"/>
  <c r="G14" i="31" s="1"/>
  <c r="G13" i="31"/>
  <c r="H13" i="31"/>
  <c r="H14" i="31"/>
  <c r="H16" i="31"/>
  <c r="G17" i="31" l="1"/>
  <c r="H15" i="31"/>
  <c r="H17" i="31" s="1"/>
  <c r="G5" i="31"/>
  <c r="G8" i="30"/>
  <c r="G6" i="30"/>
  <c r="H16" i="30" l="1"/>
  <c r="H14" i="30"/>
  <c r="G14" i="30"/>
  <c r="H13" i="30"/>
  <c r="G13" i="30"/>
  <c r="H9" i="30"/>
  <c r="H12" i="30" s="1"/>
  <c r="G9" i="30"/>
  <c r="G12" i="30" s="1"/>
  <c r="G16" i="30"/>
  <c r="H5" i="30"/>
  <c r="H15" i="30" l="1"/>
  <c r="H17" i="30" s="1"/>
  <c r="G15" i="30"/>
  <c r="G17" i="30" s="1"/>
  <c r="G5" i="30"/>
  <c r="G6" i="29"/>
  <c r="H14" i="29" l="1"/>
  <c r="G14" i="29"/>
  <c r="H13" i="29"/>
  <c r="G13" i="29"/>
  <c r="H9" i="29"/>
  <c r="H12" i="29" s="1"/>
  <c r="G9" i="29"/>
  <c r="G12" i="29" s="1"/>
  <c r="H16" i="29"/>
  <c r="G16" i="29"/>
  <c r="H5" i="29"/>
  <c r="G5" i="29"/>
  <c r="G15" i="29" l="1"/>
  <c r="H15" i="29"/>
  <c r="H17" i="29" s="1"/>
  <c r="G17" i="29"/>
  <c r="G6" i="28"/>
  <c r="H6" i="28"/>
  <c r="H16" i="28" l="1"/>
  <c r="G16" i="28"/>
  <c r="H14" i="28"/>
  <c r="G14" i="28"/>
  <c r="H13" i="28"/>
  <c r="G13" i="28"/>
  <c r="H9" i="28"/>
  <c r="H12" i="28" s="1"/>
  <c r="G9" i="28"/>
  <c r="G12" i="28" s="1"/>
  <c r="H5" i="28"/>
  <c r="G5" i="28"/>
  <c r="G15" i="28" l="1"/>
  <c r="G17" i="28" s="1"/>
  <c r="H15" i="28"/>
  <c r="H17" i="28" s="1"/>
  <c r="H14" i="27"/>
  <c r="G14" i="27"/>
  <c r="H13" i="27"/>
  <c r="G13" i="27"/>
  <c r="H9" i="27"/>
  <c r="H12" i="27" s="1"/>
  <c r="G9" i="27"/>
  <c r="G12" i="27" s="1"/>
  <c r="H16" i="27"/>
  <c r="G16" i="27"/>
  <c r="G5" i="27"/>
  <c r="H15" i="27" l="1"/>
  <c r="H17" i="27" s="1"/>
  <c r="G15" i="27"/>
  <c r="G17" i="27" s="1"/>
  <c r="H5" i="27"/>
  <c r="G6" i="25"/>
  <c r="H16" i="26" l="1"/>
  <c r="G16" i="26"/>
  <c r="H14" i="26"/>
  <c r="G14" i="26"/>
  <c r="H13" i="26"/>
  <c r="G13" i="26"/>
  <c r="H9" i="26"/>
  <c r="H12" i="26" s="1"/>
  <c r="H15" i="26" s="1"/>
  <c r="H17" i="26" s="1"/>
  <c r="G9" i="26"/>
  <c r="G12" i="26" s="1"/>
  <c r="G15" i="26" s="1"/>
  <c r="G17" i="26" s="1"/>
  <c r="H5" i="26"/>
  <c r="G5" i="26"/>
  <c r="H6" i="25" l="1"/>
  <c r="H14" i="25" l="1"/>
  <c r="G14" i="25"/>
  <c r="H13" i="25"/>
  <c r="G13" i="25"/>
  <c r="H9" i="25"/>
  <c r="H12" i="25" s="1"/>
  <c r="H15" i="25" s="1"/>
  <c r="G9" i="25"/>
  <c r="G12" i="25" s="1"/>
  <c r="H16" i="25"/>
  <c r="G5" i="25"/>
  <c r="H5" i="25"/>
  <c r="G15" i="25" l="1"/>
  <c r="H17" i="25"/>
  <c r="G16" i="25"/>
  <c r="G6" i="24"/>
  <c r="G17" i="25" l="1"/>
  <c r="G16" i="24"/>
  <c r="H14" i="24"/>
  <c r="H13" i="24"/>
  <c r="H9" i="24"/>
  <c r="H12" i="24" s="1"/>
  <c r="H15" i="24" s="1"/>
  <c r="H6" i="24"/>
  <c r="H5" i="24" s="1"/>
  <c r="G14" i="24"/>
  <c r="G13" i="24"/>
  <c r="G9" i="24"/>
  <c r="G12" i="24" s="1"/>
  <c r="G15" i="24" s="1"/>
  <c r="H16" i="24" l="1"/>
  <c r="H17" i="24" s="1"/>
  <c r="G17" i="24"/>
  <c r="G5" i="24"/>
  <c r="G5" i="23"/>
  <c r="H16" i="23"/>
  <c r="H14" i="23"/>
  <c r="H13" i="23"/>
  <c r="H8" i="23"/>
  <c r="H15" i="23" s="1"/>
  <c r="H17" i="23" s="1"/>
  <c r="H6" i="23"/>
  <c r="H5" i="23"/>
  <c r="G16" i="23"/>
  <c r="G14" i="23"/>
  <c r="G13" i="23"/>
  <c r="G9" i="23"/>
  <c r="G12" i="23" s="1"/>
  <c r="G15" i="23" s="1"/>
  <c r="G17" i="23" s="1"/>
  <c r="G12" i="22" l="1"/>
  <c r="G9" i="22"/>
  <c r="G5" i="22"/>
  <c r="H14" i="22" l="1"/>
  <c r="H8" i="22"/>
  <c r="H13" i="22" s="1"/>
  <c r="H6" i="22"/>
  <c r="H16" i="22" s="1"/>
  <c r="G14" i="22"/>
  <c r="G13" i="22"/>
  <c r="G16" i="22"/>
  <c r="H9" i="22" l="1"/>
  <c r="H12" i="22" s="1"/>
  <c r="H15" i="22" s="1"/>
  <c r="H17" i="22" s="1"/>
  <c r="H5" i="22"/>
  <c r="G15" i="22"/>
  <c r="G17" i="22" s="1"/>
  <c r="G6" i="21"/>
  <c r="H5" i="21" l="1"/>
  <c r="G5" i="21"/>
  <c r="H9" i="21"/>
  <c r="G13" i="21"/>
  <c r="H13" i="21"/>
  <c r="H15" i="21" s="1"/>
  <c r="G14" i="21"/>
  <c r="H14" i="21"/>
  <c r="G16" i="21"/>
  <c r="H16" i="21"/>
  <c r="G5" i="20"/>
  <c r="G6" i="20"/>
  <c r="G9" i="20"/>
  <c r="G12" i="20"/>
  <c r="G15" i="20"/>
  <c r="H6" i="20"/>
  <c r="H16" i="20"/>
  <c r="H14" i="20"/>
  <c r="H13" i="20"/>
  <c r="H9" i="20"/>
  <c r="H12" i="20"/>
  <c r="H15" i="20"/>
  <c r="G14" i="20"/>
  <c r="G6" i="19"/>
  <c r="G8" i="19"/>
  <c r="H5" i="19"/>
  <c r="H6" i="19"/>
  <c r="H14" i="19"/>
  <c r="H13" i="19"/>
  <c r="H12" i="19"/>
  <c r="H15" i="19"/>
  <c r="H17" i="19"/>
  <c r="H16" i="19"/>
  <c r="G14" i="19"/>
  <c r="G13" i="19"/>
  <c r="G16" i="19"/>
  <c r="G6" i="18"/>
  <c r="G16" i="18"/>
  <c r="G8" i="18"/>
  <c r="G9" i="18"/>
  <c r="G12" i="18"/>
  <c r="G15" i="18"/>
  <c r="G17" i="18"/>
  <c r="H6" i="18"/>
  <c r="H16" i="18"/>
  <c r="H14" i="18"/>
  <c r="H13" i="18"/>
  <c r="H9" i="18"/>
  <c r="H12" i="18"/>
  <c r="H15" i="18"/>
  <c r="H17" i="18"/>
  <c r="G14" i="18"/>
  <c r="G9" i="17"/>
  <c r="G12" i="17"/>
  <c r="G15" i="17"/>
  <c r="G17" i="17"/>
  <c r="H16" i="17"/>
  <c r="H14" i="17"/>
  <c r="H13" i="17"/>
  <c r="H9" i="17"/>
  <c r="H12" i="17"/>
  <c r="H15" i="17"/>
  <c r="H17" i="17"/>
  <c r="H5" i="17"/>
  <c r="G14" i="17"/>
  <c r="G13" i="17"/>
  <c r="G16" i="17"/>
  <c r="G6" i="16"/>
  <c r="G16" i="16"/>
  <c r="H6" i="16"/>
  <c r="H16" i="16"/>
  <c r="G9" i="16"/>
  <c r="G12" i="16"/>
  <c r="G15" i="16"/>
  <c r="G17" i="16"/>
  <c r="H14" i="16"/>
  <c r="H13" i="16"/>
  <c r="H9" i="16"/>
  <c r="H12" i="16"/>
  <c r="H15" i="16"/>
  <c r="H17" i="16"/>
  <c r="G14" i="16"/>
  <c r="G13" i="16"/>
  <c r="G6" i="15"/>
  <c r="G16" i="15"/>
  <c r="H14" i="15"/>
  <c r="G14" i="15"/>
  <c r="G15" i="15"/>
  <c r="H13" i="15"/>
  <c r="G13" i="15"/>
  <c r="H9" i="15"/>
  <c r="H12" i="15"/>
  <c r="H15" i="15"/>
  <c r="H17" i="15"/>
  <c r="G12" i="15"/>
  <c r="H6" i="15"/>
  <c r="H16" i="15"/>
  <c r="G6" i="14"/>
  <c r="G16" i="14"/>
  <c r="H16" i="14"/>
  <c r="H14" i="14"/>
  <c r="G14" i="14"/>
  <c r="H13" i="14"/>
  <c r="G13" i="14"/>
  <c r="H9" i="14"/>
  <c r="H12" i="14"/>
  <c r="H15" i="14"/>
  <c r="H17" i="14"/>
  <c r="G9" i="14"/>
  <c r="G12" i="14"/>
  <c r="G15" i="14"/>
  <c r="H5" i="14"/>
  <c r="G5" i="14"/>
  <c r="H16" i="13"/>
  <c r="G16" i="13"/>
  <c r="H14" i="13"/>
  <c r="G14" i="13"/>
  <c r="H13" i="13"/>
  <c r="G13" i="13"/>
  <c r="H9" i="13"/>
  <c r="H12" i="13"/>
  <c r="H15" i="13"/>
  <c r="H17" i="13"/>
  <c r="G9" i="13"/>
  <c r="G12" i="13"/>
  <c r="G15" i="13"/>
  <c r="G17" i="13"/>
  <c r="H5" i="13"/>
  <c r="G5" i="13"/>
  <c r="G5" i="12"/>
  <c r="H16" i="12"/>
  <c r="H14" i="12"/>
  <c r="G14" i="12"/>
  <c r="H13" i="12"/>
  <c r="G13" i="12"/>
  <c r="H9" i="12"/>
  <c r="H12" i="12"/>
  <c r="H15" i="12"/>
  <c r="H17" i="12"/>
  <c r="G9" i="12"/>
  <c r="G12" i="12"/>
  <c r="G15" i="12"/>
  <c r="G17" i="12"/>
  <c r="G16" i="12"/>
  <c r="H5" i="12"/>
  <c r="G6" i="8"/>
  <c r="G5" i="8"/>
  <c r="H16" i="8"/>
  <c r="H14" i="8"/>
  <c r="G14" i="8"/>
  <c r="H13" i="8"/>
  <c r="G13" i="8"/>
  <c r="H9" i="8"/>
  <c r="H12" i="8"/>
  <c r="H15" i="8"/>
  <c r="H17" i="8"/>
  <c r="G9" i="8"/>
  <c r="G12" i="8"/>
  <c r="G15" i="8"/>
  <c r="G17" i="8"/>
  <c r="H5" i="8"/>
  <c r="G9" i="5"/>
  <c r="G12" i="5"/>
  <c r="G15" i="5"/>
  <c r="G17" i="5"/>
  <c r="G16" i="5"/>
  <c r="H14" i="5"/>
  <c r="G14" i="5"/>
  <c r="H13" i="5"/>
  <c r="G13" i="5"/>
  <c r="H9" i="5"/>
  <c r="H12" i="5"/>
  <c r="H15" i="5"/>
  <c r="H17" i="5"/>
  <c r="H5" i="5"/>
  <c r="G5" i="5"/>
  <c r="H6" i="4"/>
  <c r="H16" i="4"/>
  <c r="G16" i="4"/>
  <c r="H14" i="4"/>
  <c r="G14" i="4"/>
  <c r="H13" i="4"/>
  <c r="G13" i="4"/>
  <c r="H9" i="4"/>
  <c r="H12" i="4"/>
  <c r="H15" i="4"/>
  <c r="H17" i="4"/>
  <c r="G9" i="4"/>
  <c r="G12" i="4"/>
  <c r="G15" i="4"/>
  <c r="G17" i="4"/>
  <c r="G5" i="4"/>
  <c r="H5" i="3"/>
  <c r="G9" i="3"/>
  <c r="G12" i="3"/>
  <c r="G15" i="3"/>
  <c r="G17" i="3"/>
  <c r="G13" i="3"/>
  <c r="G14" i="3"/>
  <c r="H16" i="3"/>
  <c r="G16" i="3"/>
  <c r="H14" i="3"/>
  <c r="G5" i="3"/>
  <c r="H9" i="3"/>
  <c r="H12" i="3"/>
  <c r="H15" i="3"/>
  <c r="H17" i="3"/>
  <c r="H13" i="3"/>
  <c r="H9" i="2"/>
  <c r="H12" i="2"/>
  <c r="H15" i="2"/>
  <c r="H17" i="2"/>
  <c r="H13" i="2"/>
  <c r="G9" i="2"/>
  <c r="G12" i="2"/>
  <c r="G15" i="2"/>
  <c r="G17" i="2"/>
  <c r="G13" i="2"/>
  <c r="G5" i="2"/>
  <c r="H5" i="2"/>
  <c r="H5" i="4"/>
  <c r="H16" i="5"/>
  <c r="G16" i="8"/>
  <c r="H5" i="15"/>
  <c r="G5" i="15"/>
  <c r="H5" i="16"/>
  <c r="G5" i="16"/>
  <c r="G5" i="17"/>
  <c r="H5" i="18"/>
  <c r="G13" i="18"/>
  <c r="G9" i="19"/>
  <c r="G12" i="19"/>
  <c r="G15" i="19"/>
  <c r="G17" i="19"/>
  <c r="G5" i="19"/>
  <c r="G17" i="15"/>
  <c r="G17" i="14"/>
  <c r="G5" i="18"/>
  <c r="G13" i="20"/>
  <c r="H17" i="20"/>
  <c r="G16" i="20"/>
  <c r="G17" i="20"/>
  <c r="H5" i="20"/>
  <c r="G15" i="21" l="1"/>
  <c r="G17" i="21" s="1"/>
  <c r="H17" i="21"/>
</calcChain>
</file>

<file path=xl/comments1.xml><?xml version="1.0" encoding="utf-8"?>
<comments xmlns="http://schemas.openxmlformats.org/spreadsheetml/2006/main">
  <authors>
    <author>Helge Øien</author>
    <author>Marianne Moe</author>
  </authors>
  <commentList>
    <comment ref="E6" authorId="0">
      <text>
        <r>
          <rPr>
            <sz val="9"/>
            <color indexed="81"/>
            <rFont val="Arial"/>
            <family val="2"/>
          </rPr>
          <t>Provision for Employee share purchase programme (-130m)
Reversal of provisions in Pakistan (+232m, of which +79m on revenues and +153m on opex)</t>
        </r>
      </text>
    </comment>
    <comment ref="E8" authorId="1">
      <text>
        <r>
          <rPr>
            <sz val="9"/>
            <color indexed="81"/>
            <rFont val="Arial"/>
            <family val="2"/>
          </rPr>
          <t xml:space="preserve">Other units (+360m), Grameenphone (-109m), Norway (-34m), </t>
        </r>
      </text>
    </comment>
    <comment ref="F8" authorId="1">
      <text>
        <r>
          <rPr>
            <sz val="9"/>
            <color indexed="81"/>
            <rFont val="Arial"/>
            <family val="2"/>
          </rPr>
          <t>Norway (-35m), Denmark(-34m)</t>
        </r>
      </text>
    </comment>
  </commentList>
</comments>
</file>

<file path=xl/comments10.xml><?xml version="1.0" encoding="utf-8"?>
<comments xmlns="http://schemas.openxmlformats.org/spreadsheetml/2006/main">
  <authors>
    <author>Øien Helge</author>
    <author>Marianne Moe</author>
    <author>T716067</author>
  </authors>
  <commentList>
    <comment ref="G6" authorId="0">
      <text>
        <r>
          <rPr>
            <sz val="9"/>
            <color indexed="81"/>
            <rFont val="Tahoma"/>
            <family val="2"/>
          </rPr>
          <t>Myanmar (+93m)</t>
        </r>
      </text>
    </comment>
    <comment ref="H6" authorId="1">
      <text>
        <r>
          <rPr>
            <sz val="9"/>
            <color indexed="81"/>
            <rFont val="Tahoma"/>
            <family val="2"/>
          </rPr>
          <t xml:space="preserve">India -27m
</t>
        </r>
      </text>
    </comment>
    <comment ref="G8" authorId="1">
      <text>
        <r>
          <rPr>
            <sz val="8"/>
            <color indexed="81"/>
            <rFont val="Tahoma"/>
            <family val="2"/>
          </rPr>
          <t>Norway (-59m), Sweden (-61m), dtac (-22m)</t>
        </r>
      </text>
    </comment>
    <comment ref="H8" authorId="2">
      <text>
        <r>
          <rPr>
            <sz val="8"/>
            <color indexed="81"/>
            <rFont val="Tahoma"/>
            <family val="2"/>
          </rPr>
          <t>Norway (-39m),  Other units  (-113m)</t>
        </r>
      </text>
    </comment>
  </commentList>
</comments>
</file>

<file path=xl/comments11.xml><?xml version="1.0" encoding="utf-8"?>
<comments xmlns="http://schemas.openxmlformats.org/spreadsheetml/2006/main">
  <authors>
    <author>Øien Helge</author>
    <author>Marianne Moe</author>
    <author>T716067</author>
  </authors>
  <commentList>
    <comment ref="G6" authorId="0">
      <text>
        <r>
          <rPr>
            <sz val="9"/>
            <color indexed="81"/>
            <rFont val="Tahoma"/>
            <family val="2"/>
          </rPr>
          <t>Pakistan reversal of accruals (130m), dtac reversal of accruals (25m)</t>
        </r>
      </text>
    </comment>
    <comment ref="G8" authorId="1">
      <text>
        <r>
          <rPr>
            <sz val="8"/>
            <color indexed="81"/>
            <rFont val="Tahoma"/>
            <family val="2"/>
          </rPr>
          <t>Norway workforce reductions -32m</t>
        </r>
      </text>
    </comment>
    <comment ref="H8" authorId="2">
      <text>
        <r>
          <rPr>
            <sz val="8"/>
            <color indexed="81"/>
            <rFont val="Tahoma"/>
            <family val="2"/>
          </rPr>
          <t>Norway (-298m), sales gain Conax (+1.2 bn), licence offset India (+1.66 bn)</t>
        </r>
      </text>
    </comment>
  </commentList>
</comments>
</file>

<file path=xl/comments12.xml><?xml version="1.0" encoding="utf-8"?>
<comments xmlns="http://schemas.openxmlformats.org/spreadsheetml/2006/main">
  <authors>
    <author>Øien Helge</author>
    <author>Marianne Moe</author>
    <author>T716067</author>
  </authors>
  <commentList>
    <comment ref="G6" authorId="0">
      <text>
        <r>
          <rPr>
            <sz val="9"/>
            <color indexed="81"/>
            <rFont val="Tahoma"/>
            <family val="2"/>
          </rPr>
          <t xml:space="preserve">Norway reversal of provision +59m, Grameenphone one-off -51m
</t>
        </r>
      </text>
    </comment>
    <comment ref="H6" authorId="1">
      <text>
        <r>
          <rPr>
            <sz val="8"/>
            <color indexed="81"/>
            <rFont val="Tahoma"/>
            <family val="2"/>
          </rPr>
          <t>DTAC net one-time items +56m, India performance bonus                 -55m, Norway one-time revenue item -26m</t>
        </r>
      </text>
    </comment>
    <comment ref="G8" authorId="1">
      <text>
        <r>
          <rPr>
            <sz val="8"/>
            <color indexed="81"/>
            <rFont val="Tahoma"/>
            <family val="2"/>
          </rPr>
          <t>India provision-100m, Norway workforce reductions -47m, Sweden scrapping of IT project -60m, Hungary loss contract
-19m</t>
        </r>
      </text>
    </comment>
    <comment ref="H8" authorId="2">
      <text>
        <r>
          <rPr>
            <sz val="8"/>
            <color indexed="81"/>
            <rFont val="Tahoma"/>
            <family val="2"/>
          </rPr>
          <t>Norway workforce reductions -49m,  Grameenphone workforce reductions -37m, Scrapping of equipment in Pakistan -35m</t>
        </r>
      </text>
    </comment>
  </commentList>
</comments>
</file>

<file path=xl/comments13.xml><?xml version="1.0" encoding="utf-8"?>
<comments xmlns="http://schemas.openxmlformats.org/spreadsheetml/2006/main">
  <authors>
    <author>Marianne Moe</author>
    <author>T716067</author>
  </authors>
  <commentList>
    <comment ref="G8" authorId="0">
      <text>
        <r>
          <rPr>
            <sz val="8"/>
            <color indexed="81"/>
            <rFont val="Tahoma"/>
            <family val="2"/>
          </rPr>
          <t>Broadcast (-37m),  Denmark (-30m), Other units  (-28m)</t>
        </r>
      </text>
    </comment>
    <comment ref="H8" authorId="1">
      <text>
        <r>
          <rPr>
            <sz val="8"/>
            <color indexed="81"/>
            <rFont val="Tahoma"/>
            <family val="2"/>
          </rPr>
          <t>Norway (-82), Grameenphone (+54) and Other units 
(-82)</t>
        </r>
      </text>
    </comment>
  </commentList>
</comments>
</file>

<file path=xl/comments14.xml><?xml version="1.0" encoding="utf-8"?>
<comments xmlns="http://schemas.openxmlformats.org/spreadsheetml/2006/main">
  <authors>
    <author>Marianne Moe</author>
    <author>t503810</author>
    <author>T716067</author>
  </authors>
  <commentList>
    <comment ref="G6" authorId="0">
      <text>
        <r>
          <rPr>
            <sz val="8"/>
            <color indexed="81"/>
            <rFont val="Tahoma"/>
            <family val="2"/>
          </rPr>
          <t xml:space="preserve">India (-27m) </t>
        </r>
      </text>
    </comment>
    <comment ref="H6" authorId="1">
      <text>
        <r>
          <rPr>
            <sz val="8"/>
            <color indexed="81"/>
            <rFont val="Tahoma"/>
            <family val="2"/>
          </rPr>
          <t>Norway one-time correction on mobile revenues (-114m) and 
dtac one-time effect on revenues (+47m)</t>
        </r>
      </text>
    </comment>
    <comment ref="G8" authorId="0">
      <text>
        <r>
          <rPr>
            <sz val="8"/>
            <color indexed="81"/>
            <rFont val="Tahoma"/>
            <family val="2"/>
          </rPr>
          <t>Norway (-39m),  Other units  (-118m)</t>
        </r>
      </text>
    </comment>
    <comment ref="H8" authorId="2">
      <text>
        <r>
          <rPr>
            <sz val="8"/>
            <color indexed="81"/>
            <rFont val="Tahoma"/>
            <family val="2"/>
          </rPr>
          <t>Norway (-61m), Sweden (-31m), DTAC  (+34m), India (+47m), Other units (-56m)</t>
        </r>
      </text>
    </comment>
  </commentList>
</comments>
</file>

<file path=xl/comments15.xml><?xml version="1.0" encoding="utf-8"?>
<comments xmlns="http://schemas.openxmlformats.org/spreadsheetml/2006/main">
  <authors>
    <author>t503810</author>
    <author>Marianne Moe</author>
    <author>T716067</author>
  </authors>
  <commentList>
    <comment ref="H6" authorId="0">
      <text>
        <r>
          <rPr>
            <sz val="8"/>
            <color indexed="81"/>
            <rFont val="Tahoma"/>
            <family val="2"/>
          </rPr>
          <t xml:space="preserve">Sweden one off on COGS (43m)
</t>
        </r>
      </text>
    </comment>
    <comment ref="G8" authorId="1">
      <text>
        <r>
          <rPr>
            <sz val="8"/>
            <color indexed="81"/>
            <rFont val="Tahoma"/>
            <family val="2"/>
          </rPr>
          <t>Norway (-298m), sales gain Conax (+1.2 bn), licence offset India (+1.65 bn)</t>
        </r>
      </text>
    </comment>
    <comment ref="H8" authorId="2">
      <text>
        <r>
          <rPr>
            <sz val="8"/>
            <color indexed="81"/>
            <rFont val="Tahoma"/>
            <family val="2"/>
          </rPr>
          <t xml:space="preserve">DTAC (-106m), Denmark (-69m), Norway (-45m), other(-49m)
</t>
        </r>
      </text>
    </comment>
  </commentList>
</comments>
</file>

<file path=xl/comments16.xml><?xml version="1.0" encoding="utf-8"?>
<comments xmlns="http://schemas.openxmlformats.org/spreadsheetml/2006/main">
  <authors>
    <author>Marianne Moe</author>
    <author>t503810</author>
    <author>T716067</author>
  </authors>
  <commentList>
    <comment ref="G6" authorId="0">
      <text>
        <r>
          <rPr>
            <sz val="8"/>
            <color indexed="81"/>
            <rFont val="Tahoma"/>
            <family val="2"/>
          </rPr>
          <t>DTAC net one-time items +56m, India performance bonus                 -55m, Norway one-time revenue item -26m</t>
        </r>
      </text>
    </comment>
    <comment ref="H6" authorId="1">
      <text>
        <r>
          <rPr>
            <sz val="8"/>
            <color indexed="81"/>
            <rFont val="Tahoma"/>
            <family val="2"/>
          </rPr>
          <t xml:space="preserve">
Insurance claim refund Norway (+54m), Capex expensed in Uninor (-55m), reversal of provisions in Serbia (+15m) </t>
        </r>
      </text>
    </comment>
    <comment ref="G8" authorId="0">
      <text>
        <r>
          <rPr>
            <sz val="8"/>
            <color indexed="81"/>
            <rFont val="Tahoma"/>
            <family val="2"/>
          </rPr>
          <t>Norway workforce reductions -49m,  Grameenphone workforce reductions -37m, Scrapping of equipment in Pakistan -35m</t>
        </r>
      </text>
    </comment>
    <comment ref="H8" authorId="2">
      <text>
        <r>
          <rPr>
            <sz val="8"/>
            <color indexed="81"/>
            <rFont val="Tahoma"/>
            <family val="2"/>
          </rPr>
          <t xml:space="preserve">Workforce reductions in Norway(-69m), scrapping of equipment in Serbia (-42m), shut-down costs in India (-117m) + some smaller items. </t>
        </r>
      </text>
    </comment>
    <comment ref="H11" authorId="0">
      <text>
        <r>
          <rPr>
            <sz val="8"/>
            <color indexed="81"/>
            <rFont val="Tahoma"/>
            <family val="2"/>
          </rPr>
          <t>Writedown of goodwilll in Denmark (-3,960m)</t>
        </r>
      </text>
    </comment>
  </commentList>
</comments>
</file>

<file path=xl/comments17.xml><?xml version="1.0" encoding="utf-8"?>
<comments xmlns="http://schemas.openxmlformats.org/spreadsheetml/2006/main">
  <authors>
    <author>t503810</author>
    <author>Øien Helge</author>
    <author>T716067</author>
  </authors>
  <commentList>
    <comment ref="H6" authorId="0">
      <text>
        <r>
          <rPr>
            <sz val="8"/>
            <color indexed="81"/>
            <rFont val="Tahoma"/>
            <family val="2"/>
          </rPr>
          <t xml:space="preserve">
Capex expensed in Uninor (-33)
One-time correction for stamp duty on rental agreements in Pakistan (-15)</t>
        </r>
      </text>
    </comment>
    <comment ref="G8" authorId="1">
      <text>
        <r>
          <rPr>
            <sz val="9"/>
            <color indexed="81"/>
            <rFont val="Tahoma"/>
            <family val="2"/>
          </rPr>
          <t>Norway (-82), Grameenphone (+54) and Other units 
(-82)</t>
        </r>
      </text>
    </comment>
    <comment ref="H8" authorId="2">
      <text>
        <r>
          <rPr>
            <sz val="8"/>
            <color indexed="81"/>
            <rFont val="Tahoma"/>
            <family val="2"/>
          </rPr>
          <t xml:space="preserve">Norway(-59), Sweden (-40) and India (-126) + some smaller items. </t>
        </r>
      </text>
    </comment>
  </commentList>
</comments>
</file>

<file path=xl/comments18.xml><?xml version="1.0" encoding="utf-8"?>
<comments xmlns="http://schemas.openxmlformats.org/spreadsheetml/2006/main">
  <authors>
    <author>t503810</author>
    <author>Marianne Moe</author>
    <author>T716067</author>
  </authors>
  <commentList>
    <comment ref="H6" authorId="0">
      <text>
        <r>
          <rPr>
            <sz val="8"/>
            <color indexed="81"/>
            <rFont val="Verdana"/>
            <family val="2"/>
          </rPr>
          <t>Regulatory provision in Sweden (-41)
Capex expensed in Uninor (-104)
Reversal of accruals in DiGi (+74)</t>
        </r>
      </text>
    </comment>
    <comment ref="G8" authorId="1">
      <text>
        <r>
          <rPr>
            <sz val="8"/>
            <color indexed="81"/>
            <rFont val="Verdana"/>
            <family val="2"/>
          </rPr>
          <t>Norway (-61m), Sweden (-31m), DTAC  (+34m), India (+47m), Other units (-56m)</t>
        </r>
      </text>
    </comment>
    <comment ref="H8" authorId="2">
      <text>
        <r>
          <rPr>
            <sz val="8"/>
            <color indexed="81"/>
            <rFont val="Verdana"/>
            <family val="2"/>
          </rPr>
          <t>Norway(-47), Sweden (-89), Pakistan (-41)</t>
        </r>
      </text>
    </comment>
  </commentList>
</comments>
</file>

<file path=xl/comments19.xml><?xml version="1.0" encoding="utf-8"?>
<comments xmlns="http://schemas.openxmlformats.org/spreadsheetml/2006/main">
  <authors>
    <author>Øien Helge (ASA)</author>
    <author>T716067</author>
    <author>t503810</author>
  </authors>
  <commentList>
    <comment ref="G6" authorId="0">
      <text>
        <r>
          <rPr>
            <sz val="9"/>
            <color indexed="81"/>
            <rFont val="Tahoma"/>
            <family val="2"/>
          </rPr>
          <t xml:space="preserve">Sweden one off on COGS (43m)
</t>
        </r>
      </text>
    </comment>
    <comment ref="G8" authorId="0">
      <text>
        <r>
          <rPr>
            <sz val="8"/>
            <color indexed="81"/>
            <rFont val="Tahoma"/>
            <family val="2"/>
          </rPr>
          <t xml:space="preserve">DTAC (-106m), Denmark (-69m), Norway (-45m), other(-49m)
</t>
        </r>
      </text>
    </comment>
    <comment ref="H8" authorId="1">
      <text>
        <r>
          <rPr>
            <sz val="8"/>
            <color indexed="81"/>
            <rFont val="Tahoma"/>
            <family val="2"/>
          </rPr>
          <t>Norway(-42m), Denmark (-32m), Hungary (-12m), Broadcast (-21m)</t>
        </r>
      </text>
    </comment>
    <comment ref="H11" authorId="2">
      <text>
        <r>
          <rPr>
            <sz val="8"/>
            <color indexed="81"/>
            <rFont val="Tahoma"/>
            <family val="2"/>
          </rPr>
          <t>Write-down of fixed and intangible assets in India</t>
        </r>
      </text>
    </comment>
  </commentList>
</comments>
</file>

<file path=xl/comments2.xml><?xml version="1.0" encoding="utf-8"?>
<comments xmlns="http://schemas.openxmlformats.org/spreadsheetml/2006/main">
  <authors>
    <author>Helge Øien</author>
    <author>Marianne Moe</author>
    <author>Moe Marianne</author>
  </authors>
  <commentList>
    <comment ref="E6" authorId="0">
      <text>
        <r>
          <rPr>
            <sz val="9"/>
            <color indexed="81"/>
            <rFont val="Arial"/>
            <family val="2"/>
          </rPr>
          <t>Grameenphone (+93m), Digi (+75m)</t>
        </r>
      </text>
    </comment>
    <comment ref="F6" authorId="0">
      <text>
        <r>
          <rPr>
            <sz val="9"/>
            <color indexed="81"/>
            <rFont val="Tahoma"/>
            <family val="2"/>
          </rPr>
          <t>dtac  (-39m)</t>
        </r>
      </text>
    </comment>
    <comment ref="E8" authorId="1">
      <text>
        <r>
          <rPr>
            <sz val="9"/>
            <color indexed="81"/>
            <rFont val="Arial"/>
            <family val="2"/>
          </rPr>
          <t xml:space="preserve">Norway (+79m), Broadcast (+347m), Other units (-41m), </t>
        </r>
      </text>
    </comment>
    <comment ref="F8" authorId="1">
      <text>
        <r>
          <rPr>
            <sz val="9"/>
            <color indexed="81"/>
            <rFont val="Arial"/>
            <family val="2"/>
          </rPr>
          <t>Norway (-38m), dtac (-110m), Grameenphone (-102m)</t>
        </r>
      </text>
    </comment>
    <comment ref="E11" authorId="2">
      <text>
        <r>
          <rPr>
            <sz val="9"/>
            <color indexed="81"/>
            <rFont val="Tahoma"/>
            <family val="2"/>
          </rPr>
          <t>Onilne classifieds (-352m), related to the online classifieds transactions</t>
        </r>
      </text>
    </comment>
  </commentList>
</comments>
</file>

<file path=xl/comments20.xml><?xml version="1.0" encoding="utf-8"?>
<comments xmlns="http://schemas.openxmlformats.org/spreadsheetml/2006/main">
  <authors>
    <author>t503810</author>
    <author>T716067</author>
    <author>Marianne Moe</author>
  </authors>
  <commentList>
    <comment ref="G6" authorId="0">
      <text>
        <r>
          <rPr>
            <sz val="8"/>
            <color indexed="81"/>
            <rFont val="Tahoma"/>
            <family val="2"/>
          </rPr>
          <t xml:space="preserve">
Insurance claim refund Norway (+54m), Capex expensed in Uninor (-55m), reversal of provisions in Serbia (+15m) </t>
        </r>
      </text>
    </comment>
    <comment ref="H6" authorId="0">
      <text>
        <r>
          <rPr>
            <sz val="8"/>
            <color indexed="81"/>
            <rFont val="Tahoma"/>
            <family val="2"/>
          </rPr>
          <t>India: reversal of provisions</t>
        </r>
        <r>
          <rPr>
            <sz val="8"/>
            <color indexed="81"/>
            <rFont val="Tahoma"/>
            <family val="2"/>
          </rPr>
          <t xml:space="preserve"> (+115m), Sweden regulatory provision (-69m), Pakistan: Reversal of provisions (+44m), Norway Kabeltvistnemda decision (-30m), DTAC network outage compensation (-48m)</t>
        </r>
      </text>
    </comment>
    <comment ref="G8" authorId="1">
      <text>
        <r>
          <rPr>
            <sz val="8"/>
            <color indexed="81"/>
            <rFont val="Tahoma"/>
            <family val="2"/>
          </rPr>
          <t xml:space="preserve">Workforce reductions in Norway(-69m), scrapping of equipment in Serbia (-42m), shut-down costs in India (-117m) + some smaller items. </t>
        </r>
      </text>
    </comment>
    <comment ref="H8" authorId="1">
      <text>
        <r>
          <rPr>
            <sz val="8"/>
            <color indexed="81"/>
            <rFont val="Tahoma"/>
            <family val="2"/>
          </rPr>
          <t>Norway(-168m), Denmark (-37m), Hungary (-36m), Pakistan (-47m), Broadcast (-88m), Other units (+47m)</t>
        </r>
      </text>
    </comment>
    <comment ref="G11" authorId="2">
      <text>
        <r>
          <rPr>
            <sz val="8"/>
            <color indexed="81"/>
            <rFont val="Tahoma"/>
            <family val="2"/>
          </rPr>
          <t>Writedown of goodwilll in Denmark (-3,960m)</t>
        </r>
      </text>
    </comment>
    <comment ref="H11" authorId="0">
      <text>
        <r>
          <rPr>
            <sz val="8"/>
            <color indexed="81"/>
            <rFont val="Tahoma"/>
            <family val="2"/>
          </rPr>
          <t xml:space="preserve">India (-4.2 bn), Norway (-45m), Other units (-76m)
</t>
        </r>
      </text>
    </comment>
  </commentList>
</comments>
</file>

<file path=xl/comments21.xml><?xml version="1.0" encoding="utf-8"?>
<comments xmlns="http://schemas.openxmlformats.org/spreadsheetml/2006/main">
  <authors>
    <author>t503810</author>
    <author>t533726</author>
    <author>T716067</author>
  </authors>
  <commentList>
    <comment ref="G6" authorId="0">
      <text>
        <r>
          <rPr>
            <sz val="8"/>
            <color indexed="81"/>
            <rFont val="Tahoma"/>
            <family val="2"/>
          </rPr>
          <t xml:space="preserve">
Capex expensed in Uninor (-33)
One-time correction for stamp duty on rental agreements in Pakistan (-15)</t>
        </r>
      </text>
    </comment>
    <comment ref="H6" authorId="1">
      <text>
        <r>
          <rPr>
            <sz val="8"/>
            <color indexed="81"/>
            <rFont val="Tahoma"/>
            <family val="2"/>
          </rPr>
          <t xml:space="preserve">
Uninor: Reversal of provisions for energy costs (+48)</t>
        </r>
      </text>
    </comment>
    <comment ref="G8" authorId="2">
      <text>
        <r>
          <rPr>
            <sz val="8"/>
            <color indexed="81"/>
            <rFont val="Tahoma"/>
            <family val="2"/>
          </rPr>
          <t xml:space="preserve">Norway(-59), Sweden (-40) and India (-126) + some smaller items. </t>
        </r>
      </text>
    </comment>
    <comment ref="H8" authorId="2">
      <text>
        <r>
          <rPr>
            <sz val="8"/>
            <color indexed="81"/>
            <rFont val="Tahoma"/>
            <family val="2"/>
          </rPr>
          <t>Norway(-24), Other units (+87) + some other smaller items</t>
        </r>
      </text>
    </comment>
  </commentList>
</comments>
</file>

<file path=xl/comments22.xml><?xml version="1.0" encoding="utf-8"?>
<comments xmlns="http://schemas.openxmlformats.org/spreadsheetml/2006/main">
  <authors>
    <author>t503810</author>
    <author>T716067</author>
  </authors>
  <commentList>
    <comment ref="G6" authorId="0">
      <text>
        <r>
          <rPr>
            <sz val="8"/>
            <color indexed="81"/>
            <rFont val="Tahoma"/>
            <family val="2"/>
          </rPr>
          <t xml:space="preserve">Regulatory provision in Sweden (-41)
Capex expensed in Uninor (-104)
Reversal of accruals in DiGi (+74)
</t>
        </r>
      </text>
    </comment>
    <comment ref="H6" authorId="1">
      <text>
        <r>
          <rPr>
            <sz val="8"/>
            <color indexed="81"/>
            <rFont val="Tahoma"/>
            <family val="2"/>
          </rPr>
          <t>Compensation for outage in Norway (-114)
Reversal of IC costs related to Tele2 in Q1 in Norway (+24)
Reversal of USO provision in Hungary (+23)
Reversal of energy provision in Uninor (+63)
VAT claim in Corporate Functions/Other units (-63)</t>
        </r>
      </text>
    </comment>
    <comment ref="G8" authorId="1">
      <text>
        <r>
          <rPr>
            <sz val="8"/>
            <color indexed="81"/>
            <rFont val="Tahoma"/>
            <family val="2"/>
          </rPr>
          <t>Norway(-47), Sweden (-89), Pakistan (-41)</t>
        </r>
      </text>
    </comment>
    <comment ref="H8" authorId="1">
      <text>
        <r>
          <rPr>
            <sz val="8"/>
            <color indexed="81"/>
            <rFont val="Tahoma"/>
            <family val="2"/>
          </rPr>
          <t>Norway (-180) + Hungary (-20), Sweden (-17) + some other small items</t>
        </r>
      </text>
    </comment>
  </commentList>
</comments>
</file>

<file path=xl/comments23.xml><?xml version="1.0" encoding="utf-8"?>
<comments xmlns="http://schemas.openxmlformats.org/spreadsheetml/2006/main">
  <authors>
    <author>T716067</author>
    <author>t503810</author>
  </authors>
  <commentList>
    <comment ref="G8" authorId="0">
      <text>
        <r>
          <rPr>
            <sz val="8"/>
            <color indexed="81"/>
            <rFont val="Tahoma"/>
            <family val="2"/>
          </rPr>
          <t>Norway(-42m), Denmark (-32m), Hungary (-12m), Broadcast (-21m)</t>
        </r>
      </text>
    </comment>
    <comment ref="H8" authorId="0">
      <text>
        <r>
          <rPr>
            <sz val="8"/>
            <color indexed="81"/>
            <rFont val="Tahoma"/>
            <family val="2"/>
          </rPr>
          <t>Norway (+35m), Other units (+15m) + some other small items</t>
        </r>
      </text>
    </comment>
    <comment ref="G11" authorId="1">
      <text>
        <r>
          <rPr>
            <sz val="8"/>
            <color indexed="81"/>
            <rFont val="Tahoma"/>
            <family val="2"/>
          </rPr>
          <t>Write-down of fixed and intangible assets in India</t>
        </r>
      </text>
    </comment>
  </commentList>
</comments>
</file>

<file path=xl/comments24.xml><?xml version="1.0" encoding="utf-8"?>
<comments xmlns="http://schemas.openxmlformats.org/spreadsheetml/2006/main">
  <authors>
    <author>t503810</author>
    <author>t533726</author>
    <author>T716067</author>
  </authors>
  <commentList>
    <comment ref="G6" authorId="0">
      <text>
        <r>
          <rPr>
            <sz val="8"/>
            <color indexed="81"/>
            <rFont val="Tahoma"/>
            <family val="2"/>
          </rPr>
          <t>India: reversal of provisions</t>
        </r>
        <r>
          <rPr>
            <sz val="8"/>
            <color indexed="81"/>
            <rFont val="Tahoma"/>
            <family val="2"/>
          </rPr>
          <t xml:space="preserve"> (+115m), Hungary telco tax (-60m), Sweden regulatory provision (-69m), Pakistan: Reversal of provisions (+44m), Norway Kabeltvistnemda decision (-30m), DTAC network outage compensation (-48m), DTAC: Increased revenue share (-160m)</t>
        </r>
      </text>
    </comment>
    <comment ref="H6" authorId="1">
      <text>
        <r>
          <rPr>
            <sz val="8"/>
            <color indexed="81"/>
            <rFont val="Tahoma"/>
            <family val="2"/>
          </rPr>
          <t>GP: Opex accrual (NOK -65m), Pakistan: negative adjustment on revenues+opex (NOK -40m), India: reversal of provisions (NOK +180m), Hungary telco tax (NOK -300m)</t>
        </r>
      </text>
    </comment>
    <comment ref="G8" authorId="2">
      <text>
        <r>
          <rPr>
            <sz val="8"/>
            <color indexed="81"/>
            <rFont val="Tahoma"/>
            <family val="2"/>
          </rPr>
          <t>Norway(-168m), Denmark (-37m), Hungary (-36m), Pakistan (-47m), Broadcast (-88m), Other units (+47m)</t>
        </r>
      </text>
    </comment>
    <comment ref="H8" authorId="2">
      <text>
        <r>
          <rPr>
            <sz val="8"/>
            <color indexed="81"/>
            <rFont val="Tahoma"/>
            <family val="2"/>
          </rPr>
          <t>Norway (-72), Broadcast (-56), Pakistan (-38),  Denmark (-29)</t>
        </r>
      </text>
    </comment>
    <comment ref="G11" authorId="0">
      <text>
        <r>
          <rPr>
            <sz val="8"/>
            <color indexed="81"/>
            <rFont val="Tahoma"/>
            <family val="2"/>
          </rPr>
          <t xml:space="preserve">India (-4.2 bn), Norway (-45m), Other units (-76m)
</t>
        </r>
      </text>
    </comment>
  </commentList>
</comments>
</file>

<file path=xl/comments25.xml><?xml version="1.0" encoding="utf-8"?>
<comments xmlns="http://schemas.openxmlformats.org/spreadsheetml/2006/main">
  <authors>
    <author>t533726</author>
    <author>T716067</author>
  </authors>
  <commentList>
    <comment ref="G6" authorId="0">
      <text>
        <r>
          <rPr>
            <sz val="8"/>
            <color indexed="81"/>
            <rFont val="Tahoma"/>
            <family val="2"/>
          </rPr>
          <t xml:space="preserve">
Hungary: Telecom crisis tax (-71)
Uninor: Reversal of provisions for energy costs (+48)</t>
        </r>
      </text>
    </comment>
    <comment ref="H6" authorId="0">
      <text>
        <r>
          <rPr>
            <sz val="8"/>
            <color indexed="81"/>
            <rFont val="Tahoma"/>
            <family val="2"/>
          </rPr>
          <t>DTAC: Net IC adjustment (+123)
Hungary: Reversal of provision for bad debt (+64)
Denmark: Write-down of bad debt (-33)
Grameenphone: International IC adjustment (+38)</t>
        </r>
      </text>
    </comment>
    <comment ref="G8" authorId="1">
      <text>
        <r>
          <rPr>
            <sz val="8"/>
            <color indexed="81"/>
            <rFont val="Tahoma"/>
            <family val="2"/>
          </rPr>
          <t>Norway(-24), Other units (+87) + some other smaller items</t>
        </r>
      </text>
    </comment>
    <comment ref="H8" authorId="1">
      <text>
        <r>
          <rPr>
            <sz val="8"/>
            <color indexed="81"/>
            <rFont val="Tahoma"/>
            <family val="2"/>
          </rPr>
          <t>Hungary (-69), Denmark (-56), Norway (-54), Pakistan                   (-49), DTAC (+49),  Sweden (-28), Other/Elimations (+68)</t>
        </r>
      </text>
    </comment>
  </commentList>
</comments>
</file>

<file path=xl/comments26.xml><?xml version="1.0" encoding="utf-8"?>
<comments xmlns="http://schemas.openxmlformats.org/spreadsheetml/2006/main">
  <authors>
    <author>T716067</author>
  </authors>
  <commentList>
    <comment ref="G6" authorId="0">
      <text>
        <r>
          <rPr>
            <sz val="8"/>
            <color indexed="81"/>
            <rFont val="Tahoma"/>
            <family val="2"/>
          </rPr>
          <t>Compensation for outage in Norway (-114)
Reversal of IC costs related to Tele2 in Q1 in Norway (+24)
Telco tax in Hungary (-69)
Reversal of USO provision in Hungary (+23)
Reversal of energy accrual in Uninor (+63)
VAT claim in Corporate Functions/Other units (-63)</t>
        </r>
      </text>
    </comment>
    <comment ref="G8" authorId="0">
      <text>
        <r>
          <rPr>
            <sz val="8"/>
            <color indexed="81"/>
            <rFont val="Tahoma"/>
            <family val="2"/>
          </rPr>
          <t>Norway (-180) + Hungary (-20), Sweden (-17) + some other small items</t>
        </r>
      </text>
    </comment>
    <comment ref="H8" authorId="0">
      <text>
        <r>
          <rPr>
            <sz val="8"/>
            <color indexed="81"/>
            <rFont val="Tahoma"/>
            <family val="2"/>
          </rPr>
          <t>Other (-89). Denmark (-16), Norway (-11), Serbia (-10) + some other small items</t>
        </r>
      </text>
    </comment>
  </commentList>
</comments>
</file>

<file path=xl/comments27.xml><?xml version="1.0" encoding="utf-8"?>
<comments xmlns="http://schemas.openxmlformats.org/spreadsheetml/2006/main">
  <authors>
    <author>T716067</author>
    <author>t533726</author>
  </authors>
  <commentList>
    <comment ref="G6" authorId="0">
      <text>
        <r>
          <rPr>
            <sz val="8"/>
            <color indexed="81"/>
            <rFont val="Tahoma"/>
            <family val="2"/>
          </rPr>
          <t>Crisis telco tax in Hungary</t>
        </r>
      </text>
    </comment>
    <comment ref="G8" authorId="0">
      <text>
        <r>
          <rPr>
            <sz val="8"/>
            <color indexed="81"/>
            <rFont val="Tahoma"/>
            <family val="2"/>
          </rPr>
          <t>Norway (net +35) + Other units (+15) + some other small items</t>
        </r>
      </text>
    </comment>
    <comment ref="H8" authorId="0">
      <text>
        <r>
          <rPr>
            <sz val="8"/>
            <color indexed="81"/>
            <rFont val="Tahoma"/>
            <family val="2"/>
          </rPr>
          <t>Hungary (</t>
        </r>
        <r>
          <rPr>
            <sz val="8"/>
            <color indexed="81"/>
            <rFont val="Tahoma"/>
            <family val="2"/>
          </rPr>
          <t>-31)</t>
        </r>
        <r>
          <rPr>
            <sz val="8"/>
            <color indexed="81"/>
            <rFont val="Tahoma"/>
            <family val="2"/>
          </rPr>
          <t>, Norway (-19), Denmark (-11), Sweden (-9) + some other small items</t>
        </r>
      </text>
    </comment>
    <comment ref="F37" authorId="1">
      <text>
        <r>
          <rPr>
            <sz val="8"/>
            <color indexed="81"/>
            <rFont val="Tahoma"/>
            <family val="2"/>
          </rPr>
          <t xml:space="preserve">Excl. expected accounting gain from the combination of VimpelCom Ltd and Wind Telecom.
</t>
        </r>
      </text>
    </comment>
  </commentList>
</comments>
</file>

<file path=xl/comments28.xml><?xml version="1.0" encoding="utf-8"?>
<comments xmlns="http://schemas.openxmlformats.org/spreadsheetml/2006/main">
  <authors>
    <author>t533726</author>
    <author>T716067</author>
  </authors>
  <commentList>
    <comment ref="G6" authorId="0">
      <text>
        <r>
          <rPr>
            <sz val="8"/>
            <color indexed="81"/>
            <rFont val="Tahoma"/>
            <family val="2"/>
          </rPr>
          <t>GP: Opex accrual (NOK -65m), Pakistan: negative adjustment on revenues+opex (NOK -40m), India: reversal of accruals of (NOK +180m)</t>
        </r>
      </text>
    </comment>
    <comment ref="H6" authorId="1">
      <text>
        <r>
          <rPr>
            <sz val="8"/>
            <color indexed="81"/>
            <rFont val="Tahoma"/>
            <family val="2"/>
          </rPr>
          <t xml:space="preserve">
Serbia: Accrual (NOK -20m)</t>
        </r>
      </text>
    </comment>
    <comment ref="G8" authorId="1">
      <text>
        <r>
          <rPr>
            <sz val="8"/>
            <color indexed="81"/>
            <rFont val="Tahoma"/>
            <family val="2"/>
          </rPr>
          <t>Norway (-72), Broadcast (-56), Pakistan (-38),  Denmark (-29)</t>
        </r>
      </text>
    </comment>
    <comment ref="H8" authorId="0">
      <text>
        <r>
          <rPr>
            <sz val="8"/>
            <color indexed="81"/>
            <rFont val="Tahoma"/>
            <family val="2"/>
          </rPr>
          <t>Denmark (-155), Sweden (-90), Other units (-52), Norway (-54), Broadcast (-27). Pannon (-28), Eliminations (+49)</t>
        </r>
      </text>
    </comment>
  </commentList>
</comments>
</file>

<file path=xl/comments29.xml><?xml version="1.0" encoding="utf-8"?>
<comments xmlns="http://schemas.openxmlformats.org/spreadsheetml/2006/main">
  <authors>
    <author>t533726</author>
    <author>T716067</author>
  </authors>
  <commentList>
    <comment ref="G6" authorId="0">
      <text>
        <r>
          <rPr>
            <sz val="8"/>
            <color indexed="81"/>
            <rFont val="Tahoma"/>
            <family val="2"/>
          </rPr>
          <t>DTAC: Net IC adjustment (+123)
Hungary: Reversal of provision for bad debt (+64)
Denmark: Incl. Write-down of bad debt (-33)</t>
        </r>
      </text>
    </comment>
    <comment ref="G8" authorId="1">
      <text>
        <r>
          <rPr>
            <sz val="8"/>
            <color indexed="81"/>
            <rFont val="Tahoma"/>
            <family val="2"/>
          </rPr>
          <t>Hungary (-69), Denmark (-56), Norway (-54), Pakistan (-49), DTAC (+49),  Sweden (-28), Other/Elimations (+68)</t>
        </r>
      </text>
    </comment>
    <comment ref="H8" authorId="0">
      <text>
        <r>
          <rPr>
            <sz val="8"/>
            <color indexed="81"/>
            <rFont val="Tahoma"/>
            <family val="2"/>
          </rPr>
          <t>Denmark (-47), Norway (-29), Broadcast (-29), Other (-41)</t>
        </r>
      </text>
    </comment>
  </commentList>
</comments>
</file>

<file path=xl/comments3.xml><?xml version="1.0" encoding="utf-8"?>
<comments xmlns="http://schemas.openxmlformats.org/spreadsheetml/2006/main">
  <authors>
    <author>Helge Øien</author>
    <author>Moe Marianne</author>
    <author>Marianne Moe</author>
  </authors>
  <commentList>
    <comment ref="G6" authorId="0">
      <text>
        <r>
          <rPr>
            <sz val="9"/>
            <color indexed="81"/>
            <rFont val="Tahoma"/>
            <family val="2"/>
          </rPr>
          <t>Norway rollover effect -85m</t>
        </r>
      </text>
    </comment>
    <comment ref="H6" authorId="1">
      <text>
        <r>
          <rPr>
            <sz val="9"/>
            <color indexed="81"/>
            <rFont val="Tahoma"/>
            <family val="2"/>
          </rPr>
          <t>Broadcast +224m, Norway +46m, Grameenphone -30m</t>
        </r>
      </text>
    </comment>
    <comment ref="G8" authorId="2">
      <text>
        <r>
          <rPr>
            <sz val="9"/>
            <color indexed="81"/>
            <rFont val="Arial"/>
            <family val="2"/>
          </rPr>
          <t>Norway -141m, Hungary -26m, Other units +67m</t>
        </r>
      </text>
    </comment>
    <comment ref="H8" authorId="1">
      <text>
        <r>
          <rPr>
            <sz val="9"/>
            <color indexed="81"/>
            <rFont val="Tahoma"/>
            <family val="2"/>
          </rPr>
          <t>Norway -77m, dtac -37m</t>
        </r>
      </text>
    </comment>
    <comment ref="H11" authorId="1">
      <text>
        <r>
          <rPr>
            <sz val="9"/>
            <color indexed="81"/>
            <rFont val="Tahoma"/>
            <family val="2"/>
          </rPr>
          <t xml:space="preserve">Broadcast -128m
</t>
        </r>
      </text>
    </comment>
  </commentList>
</comments>
</file>

<file path=xl/comments30.xml><?xml version="1.0" encoding="utf-8"?>
<comments xmlns="http://schemas.openxmlformats.org/spreadsheetml/2006/main">
  <authors>
    <author>T716067</author>
    <author>t533726</author>
  </authors>
  <commentList>
    <comment ref="G8" authorId="0">
      <text>
        <r>
          <rPr>
            <sz val="8"/>
            <color indexed="81"/>
            <rFont val="Tahoma"/>
            <family val="2"/>
          </rPr>
          <t>Other (-89). Denmark (</t>
        </r>
        <r>
          <rPr>
            <sz val="8"/>
            <color indexed="81"/>
            <rFont val="Tahoma"/>
            <family val="2"/>
          </rPr>
          <t>-16)</t>
        </r>
        <r>
          <rPr>
            <sz val="8"/>
            <color indexed="81"/>
            <rFont val="Tahoma"/>
            <family val="2"/>
          </rPr>
          <t>, Norway (-11), Serbia (-10) + some other small items</t>
        </r>
      </text>
    </comment>
    <comment ref="H8" authorId="1">
      <text>
        <r>
          <rPr>
            <sz val="8"/>
            <color indexed="81"/>
            <rFont val="Tahoma"/>
            <family val="2"/>
          </rPr>
          <t>Sweden (-32), Denmark (-21), Norway (-17), Hungary (-10)
 + some other small items</t>
        </r>
      </text>
    </comment>
  </commentList>
</comments>
</file>

<file path=xl/comments31.xml><?xml version="1.0" encoding="utf-8"?>
<comments xmlns="http://schemas.openxmlformats.org/spreadsheetml/2006/main">
  <authors>
    <author>t533726</author>
    <author>T716067</author>
  </authors>
  <commentList>
    <comment ref="H6" authorId="0">
      <text>
        <r>
          <rPr>
            <sz val="8"/>
            <color indexed="81"/>
            <rFont val="Tahoma"/>
            <family val="2"/>
          </rPr>
          <t xml:space="preserve">DTAC: (-33), Broadcast: (-27)
</t>
        </r>
      </text>
    </comment>
    <comment ref="G8" authorId="1">
      <text>
        <r>
          <rPr>
            <sz val="8"/>
            <color indexed="81"/>
            <rFont val="Tahoma"/>
            <family val="2"/>
          </rPr>
          <t>Pannon (</t>
        </r>
        <r>
          <rPr>
            <sz val="8"/>
            <color indexed="81"/>
            <rFont val="Tahoma"/>
            <family val="2"/>
          </rPr>
          <t>-31)</t>
        </r>
        <r>
          <rPr>
            <sz val="8"/>
            <color indexed="81"/>
            <rFont val="Tahoma"/>
            <family val="2"/>
          </rPr>
          <t>, Norway (-19), Denmark (-11), Sweden (-9) + some other small items</t>
        </r>
      </text>
    </comment>
  </commentList>
</comments>
</file>

<file path=xl/comments32.xml><?xml version="1.0" encoding="utf-8"?>
<comments xmlns="http://schemas.openxmlformats.org/spreadsheetml/2006/main">
  <authors>
    <author>T716067</author>
    <author>t533726</author>
  </authors>
  <commentList>
    <comment ref="G6" authorId="0">
      <text>
        <r>
          <rPr>
            <sz val="8"/>
            <color indexed="81"/>
            <rFont val="Tahoma"/>
            <family val="2"/>
          </rPr>
          <t>Serbia: Accrual (-20)</t>
        </r>
      </text>
    </comment>
    <comment ref="H6" authorId="1">
      <text>
        <r>
          <rPr>
            <sz val="8"/>
            <color indexed="81"/>
            <rFont val="Tahoma"/>
            <family val="2"/>
          </rPr>
          <t xml:space="preserve">Grameenphone (+39)
</t>
        </r>
      </text>
    </comment>
    <comment ref="G8" authorId="0">
      <text>
        <r>
          <rPr>
            <sz val="8"/>
            <color indexed="81"/>
            <rFont val="Tahoma"/>
            <family val="2"/>
          </rPr>
          <t>Denmark (</t>
        </r>
        <r>
          <rPr>
            <sz val="8"/>
            <color indexed="81"/>
            <rFont val="Tahoma"/>
            <family val="2"/>
          </rPr>
          <t>-106)</t>
        </r>
        <r>
          <rPr>
            <sz val="8"/>
            <color indexed="81"/>
            <rFont val="Tahoma"/>
            <family val="2"/>
          </rPr>
          <t>, Sweden (-91), Other units (-52), Fixed Norway (-36), Broadcast (-27). Pannon (-27) + some other small items</t>
        </r>
      </text>
    </comment>
    <comment ref="H8" authorId="0">
      <text>
        <r>
          <rPr>
            <sz val="8"/>
            <color indexed="81"/>
            <rFont val="Tahoma"/>
            <family val="2"/>
          </rPr>
          <t>Broadcast (-53),</t>
        </r>
        <r>
          <rPr>
            <sz val="8"/>
            <color indexed="10"/>
            <rFont val="Tahoma"/>
            <family val="2"/>
          </rPr>
          <t xml:space="preserve"> </t>
        </r>
        <r>
          <rPr>
            <sz val="8"/>
            <color indexed="81"/>
            <rFont val="Tahoma"/>
            <family val="2"/>
          </rPr>
          <t>Other units (-50) + some other small items</t>
        </r>
      </text>
    </comment>
  </commentList>
</comments>
</file>

<file path=xl/comments33.xml><?xml version="1.0" encoding="utf-8"?>
<comments xmlns="http://schemas.openxmlformats.org/spreadsheetml/2006/main">
  <authors>
    <author>T716067</author>
  </authors>
  <commentList>
    <comment ref="G6" authorId="0">
      <text>
        <r>
          <rPr>
            <sz val="8"/>
            <color indexed="81"/>
            <rFont val="Tahoma"/>
            <family val="2"/>
          </rPr>
          <t xml:space="preserve">EDB: positve effect from change in pension plan </t>
        </r>
      </text>
    </comment>
    <comment ref="H6" authorId="0">
      <text>
        <r>
          <rPr>
            <sz val="8"/>
            <color indexed="81"/>
            <rFont val="Tahoma"/>
            <family val="2"/>
          </rPr>
          <t>Sweden: positive effect from equipment vendor compensation</t>
        </r>
      </text>
    </comment>
    <comment ref="G8" authorId="0">
      <text>
        <r>
          <rPr>
            <sz val="8"/>
            <color indexed="81"/>
            <rFont val="Tahoma"/>
            <family val="2"/>
          </rPr>
          <t>EDB (-176), Fixed Norway (-29), Denmark (-47), Sweden (-14), Broadcast (-28) + some other small items</t>
        </r>
      </text>
    </comment>
    <comment ref="H8" authorId="0">
      <text>
        <r>
          <rPr>
            <sz val="8"/>
            <color indexed="81"/>
            <rFont val="Tahoma"/>
            <family val="2"/>
          </rPr>
          <t>Sweden (-103), Fixed Norway  (-102) + some other small items</t>
        </r>
      </text>
    </comment>
    <comment ref="G11" authorId="0">
      <text>
        <r>
          <rPr>
            <sz val="8"/>
            <color indexed="81"/>
            <rFont val="Tahoma"/>
            <family val="2"/>
          </rPr>
          <t xml:space="preserve">EDB: Goodwill impairment and write down of intangible assets </t>
        </r>
      </text>
    </comment>
  </commentList>
</comments>
</file>

<file path=xl/comments4.xml><?xml version="1.0" encoding="utf-8"?>
<comments xmlns="http://schemas.openxmlformats.org/spreadsheetml/2006/main">
  <authors>
    <author>Moe Marianne</author>
    <author>Helge Øien</author>
    <author>Marianne Moe</author>
  </authors>
  <commentList>
    <comment ref="G6" authorId="0">
      <text>
        <r>
          <rPr>
            <sz val="9"/>
            <color indexed="81"/>
            <rFont val="Tahoma"/>
            <family val="2"/>
          </rPr>
          <t>Sweden (-251m, of which -203m on revenues and -48m on opex), Bangladesh -30m</t>
        </r>
      </text>
    </comment>
    <comment ref="H6" authorId="1">
      <text>
        <r>
          <rPr>
            <sz val="9"/>
            <color indexed="81"/>
            <rFont val="Tahoma"/>
            <family val="2"/>
          </rPr>
          <t>India +133m, Pakistan +92m, Sweden +55m</t>
        </r>
      </text>
    </comment>
    <comment ref="G8" authorId="2">
      <text>
        <r>
          <rPr>
            <sz val="9"/>
            <color indexed="81"/>
            <rFont val="Arial"/>
            <family val="2"/>
          </rPr>
          <t>Norway -376m, Sweden -179m, dtac -51m, Grameenphone -29m, Broadcast -27m, India +48m, Other units +322m</t>
        </r>
      </text>
    </comment>
    <comment ref="H8" authorId="2">
      <text>
        <r>
          <rPr>
            <sz val="9"/>
            <color indexed="81"/>
            <rFont val="Arial"/>
            <family val="2"/>
          </rPr>
          <t>India  -117m, Norway -41m, Denmark  -26m, Myanmar -24m</t>
        </r>
      </text>
    </comment>
    <comment ref="G11" authorId="1">
      <text>
        <r>
          <rPr>
            <sz val="9"/>
            <color indexed="81"/>
            <rFont val="Arial"/>
            <family val="2"/>
          </rPr>
          <t>India -155m, Tapad -1 034m</t>
        </r>
      </text>
    </comment>
    <comment ref="H11" authorId="0">
      <text>
        <r>
          <rPr>
            <sz val="9"/>
            <color indexed="81"/>
            <rFont val="Arial"/>
            <family val="2"/>
          </rPr>
          <t xml:space="preserve">Denmark impairment NOK 2.1bn </t>
        </r>
      </text>
    </comment>
  </commentList>
</comments>
</file>

<file path=xl/comments5.xml><?xml version="1.0" encoding="utf-8"?>
<comments xmlns="http://schemas.openxmlformats.org/spreadsheetml/2006/main">
  <authors>
    <author>Helge Øien</author>
    <author>Marianne Moe</author>
  </authors>
  <commentList>
    <comment ref="H6" authorId="0">
      <text>
        <r>
          <rPr>
            <sz val="9"/>
            <color indexed="81"/>
            <rFont val="Tahoma"/>
            <family val="2"/>
          </rPr>
          <t>Norway (-63m), Denmark (-59m), Myanmar (+168m), Pakistan (+146m), Grameenphone (-99m)</t>
        </r>
      </text>
    </comment>
    <comment ref="G8" authorId="1">
      <text>
        <r>
          <rPr>
            <sz val="10"/>
            <rFont val="Arial"/>
            <family val="2"/>
          </rPr>
          <t>Norway (-35m), Denmark(-34m), India (+31m)</t>
        </r>
      </text>
    </comment>
    <comment ref="H8" authorId="1">
      <text>
        <r>
          <rPr>
            <sz val="9"/>
            <color indexed="81"/>
            <rFont val="Arial"/>
            <family val="2"/>
          </rPr>
          <t>Norway (-159m), Denmark (-177m), Other (-27m), India (-23m)</t>
        </r>
      </text>
    </comment>
    <comment ref="G11" authorId="0">
      <text>
        <r>
          <rPr>
            <sz val="10"/>
            <color indexed="81"/>
            <rFont val="Arial"/>
            <family val="2"/>
          </rPr>
          <t>India impairment of NOK 4.1 billion</t>
        </r>
      </text>
    </comment>
  </commentList>
</comments>
</file>

<file path=xl/comments6.xml><?xml version="1.0" encoding="utf-8"?>
<comments xmlns="http://schemas.openxmlformats.org/spreadsheetml/2006/main">
  <authors>
    <author>Helge Øien</author>
    <author>Marianne Moe</author>
  </authors>
  <commentList>
    <comment ref="G6" authorId="0">
      <text>
        <r>
          <rPr>
            <sz val="9"/>
            <color indexed="81"/>
            <rFont val="Tahoma"/>
            <family val="2"/>
          </rPr>
          <t>dtac correction of prepaid revenues (-39m)</t>
        </r>
      </text>
    </comment>
    <comment ref="H6" authorId="0">
      <text>
        <r>
          <rPr>
            <sz val="9"/>
            <color indexed="81"/>
            <rFont val="Tahoma"/>
            <family val="2"/>
          </rPr>
          <t xml:space="preserve">Myanmar reversal of accruals (+93m) </t>
        </r>
      </text>
    </comment>
    <comment ref="G8" authorId="1">
      <text>
        <r>
          <rPr>
            <sz val="10"/>
            <rFont val="Arial"/>
            <family val="2"/>
          </rPr>
          <t>Norway (-38m), dtac (-110m), Grameenphone (-102m)</t>
        </r>
      </text>
    </comment>
    <comment ref="H8" authorId="1">
      <text>
        <r>
          <rPr>
            <sz val="9"/>
            <color indexed="81"/>
            <rFont val="Arial"/>
            <family val="2"/>
          </rPr>
          <t>Norway (-59m), Sweden (-61m), dtac (-22m)</t>
        </r>
      </text>
    </comment>
    <comment ref="G11" authorId="0">
      <text>
        <r>
          <rPr>
            <sz val="10"/>
            <color indexed="81"/>
            <rFont val="Arial"/>
            <family val="2"/>
          </rPr>
          <t>India impairment of Q2 capex (-224m)</t>
        </r>
      </text>
    </comment>
  </commentList>
</comments>
</file>

<file path=xl/comments7.xml><?xml version="1.0" encoding="utf-8"?>
<comments xmlns="http://schemas.openxmlformats.org/spreadsheetml/2006/main">
  <authors>
    <author>Helge Øien</author>
    <author>Marianne Moe</author>
  </authors>
  <commentList>
    <comment ref="G6" authorId="0">
      <text>
        <r>
          <rPr>
            <sz val="9"/>
            <color indexed="81"/>
            <rFont val="Tahoma"/>
            <family val="2"/>
          </rPr>
          <t>Broadcast +211m, Norway +46m, Grameenphone -30m, India +26m</t>
        </r>
      </text>
    </comment>
    <comment ref="H6" authorId="0">
      <text>
        <r>
          <rPr>
            <sz val="9"/>
            <color indexed="81"/>
            <rFont val="Tahoma"/>
            <family val="2"/>
          </rPr>
          <t>Pakistan reversal of accruals (130m), dtac reversal of accruals (25m)</t>
        </r>
      </text>
    </comment>
    <comment ref="G8" authorId="1">
      <text>
        <r>
          <rPr>
            <sz val="10"/>
            <rFont val="Arial"/>
            <family val="2"/>
          </rPr>
          <t>Norway worforce reduction -77m, India +59m settlement, India writedown -611m, dtac -37m</t>
        </r>
      </text>
    </comment>
    <comment ref="H8" authorId="1">
      <text>
        <r>
          <rPr>
            <sz val="9"/>
            <color indexed="81"/>
            <rFont val="Arial"/>
            <family val="2"/>
          </rPr>
          <t>Norway workforce reduction (-33)</t>
        </r>
      </text>
    </comment>
    <comment ref="G11" authorId="0">
      <text>
        <r>
          <rPr>
            <sz val="10"/>
            <color indexed="81"/>
            <rFont val="Arial"/>
            <family val="2"/>
          </rPr>
          <t xml:space="preserve">Broadcast -128m, India 2.3 bn </t>
        </r>
      </text>
    </comment>
  </commentList>
</comments>
</file>

<file path=xl/comments8.xml><?xml version="1.0" encoding="utf-8"?>
<comments xmlns="http://schemas.openxmlformats.org/spreadsheetml/2006/main">
  <authors>
    <author>Helge Øien</author>
    <author>Marianne Moe</author>
  </authors>
  <commentList>
    <comment ref="G6" authorId="0">
      <text>
        <r>
          <rPr>
            <sz val="9"/>
            <color indexed="81"/>
            <rFont val="Tahoma"/>
            <family val="2"/>
          </rPr>
          <t>India settlement +133m, Pakistan +92m, Sweden +55m</t>
        </r>
      </text>
    </comment>
    <comment ref="H6" authorId="0">
      <text>
        <r>
          <rPr>
            <sz val="9"/>
            <color indexed="81"/>
            <rFont val="Tahoma"/>
            <family val="2"/>
          </rPr>
          <t>Norway reversal of provision +59m, Grameenphone one-off -51m</t>
        </r>
      </text>
    </comment>
    <comment ref="G8" authorId="1">
      <text>
        <r>
          <rPr>
            <sz val="10"/>
            <rFont val="Arial"/>
            <family val="2"/>
          </rPr>
          <t>India scrapping -117m, Norway -41m, Denmark scrapping and workforce redcutions -26m, Myanmar -24m</t>
        </r>
      </text>
    </comment>
    <comment ref="H8" authorId="1">
      <text>
        <r>
          <rPr>
            <sz val="9"/>
            <color indexed="81"/>
            <rFont val="Arial"/>
            <family val="2"/>
          </rPr>
          <t>India provision-100m, Norway workforce reductions -47m, Sweden scrapping of IT project -60m, Hungary loss contract -19m</t>
        </r>
      </text>
    </comment>
    <comment ref="G11" authorId="0">
      <text>
        <r>
          <rPr>
            <sz val="9"/>
            <color indexed="81"/>
            <rFont val="Arial"/>
            <family val="2"/>
          </rPr>
          <t xml:space="preserve">Denmark impairment NOK 2.1bn </t>
        </r>
      </text>
    </comment>
  </commentList>
</comments>
</file>

<file path=xl/comments9.xml><?xml version="1.0" encoding="utf-8"?>
<comments xmlns="http://schemas.openxmlformats.org/spreadsheetml/2006/main">
  <authors>
    <author>Helge Øien</author>
    <author>Marianne Moe</author>
  </authors>
  <commentList>
    <comment ref="G6" authorId="0">
      <text>
        <r>
          <rPr>
            <sz val="9"/>
            <color indexed="81"/>
            <rFont val="Tahoma"/>
            <family val="2"/>
          </rPr>
          <t>Norway (-63m), Denmark (-59m), Myanmar (+168m), Pakistan (+146m), Grameenphone (-99m)</t>
        </r>
      </text>
    </comment>
    <comment ref="G8" authorId="1">
      <text>
        <r>
          <rPr>
            <sz val="9"/>
            <color indexed="81"/>
            <rFont val="Arial"/>
            <family val="2"/>
          </rPr>
          <t>Norway (-159m), Denmark (-177m), Other (-27m), India (-23m)</t>
        </r>
      </text>
    </comment>
    <comment ref="H8" authorId="1">
      <text>
        <r>
          <rPr>
            <sz val="9"/>
            <color indexed="81"/>
            <rFont val="Arial"/>
            <family val="2"/>
          </rPr>
          <t>Broadcast (-37m),  Denmark (-30m), Other units  (-28m)</t>
        </r>
      </text>
    </comment>
    <comment ref="G11" authorId="0">
      <text>
        <r>
          <rPr>
            <sz val="9"/>
            <color indexed="81"/>
            <rFont val="Arial"/>
            <family val="2"/>
          </rPr>
          <t>India writedown of fixed assets (-58m)</t>
        </r>
      </text>
    </comment>
  </commentList>
</comments>
</file>

<file path=xl/sharedStrings.xml><?xml version="1.0" encoding="utf-8"?>
<sst xmlns="http://schemas.openxmlformats.org/spreadsheetml/2006/main" count="1186" uniqueCount="381">
  <si>
    <t>Q309</t>
  </si>
  <si>
    <t>Q308</t>
  </si>
  <si>
    <t>EBITDA, reported</t>
  </si>
  <si>
    <t>EBIT, reported</t>
  </si>
  <si>
    <t>(NOK million)</t>
  </si>
  <si>
    <t xml:space="preserve">Organic revenues </t>
  </si>
  <si>
    <t>EBITDA</t>
  </si>
  <si>
    <t>Capex/sales</t>
  </si>
  <si>
    <t xml:space="preserve">India </t>
  </si>
  <si>
    <t>Organic revenues</t>
  </si>
  <si>
    <t>EBITDA loss</t>
  </si>
  <si>
    <t>Capex</t>
  </si>
  <si>
    <t xml:space="preserve">Marginal </t>
  </si>
  <si>
    <r>
      <t>Around 13%</t>
    </r>
    <r>
      <rPr>
        <sz val="10"/>
        <rFont val="Arial"/>
        <family val="2"/>
      </rPr>
      <t xml:space="preserve"> (changed from 13-15%)</t>
    </r>
  </si>
  <si>
    <t>In line with 2008, however on the negative side</t>
  </si>
  <si>
    <t xml:space="preserve">   D&amp;A</t>
  </si>
  <si>
    <t xml:space="preserve">   Impairment losses </t>
  </si>
  <si>
    <r>
      <t>Around 17%</t>
    </r>
    <r>
      <rPr>
        <sz val="10"/>
        <rFont val="Arial"/>
        <family val="2"/>
      </rPr>
      <t xml:space="preserve"> (changed from 16-19%)</t>
    </r>
  </si>
  <si>
    <r>
      <t>Around 35%</t>
    </r>
    <r>
      <rPr>
        <sz val="10"/>
        <rFont val="Arial"/>
        <family val="2"/>
      </rPr>
      <t xml:space="preserve"> (changed from around 34%)</t>
    </r>
  </si>
  <si>
    <r>
      <t>Around NOK 1.5bn</t>
    </r>
    <r>
      <rPr>
        <sz val="10"/>
        <color indexed="10"/>
        <rFont val="Arial"/>
        <family val="2"/>
      </rPr>
      <t xml:space="preserve"> </t>
    </r>
    <r>
      <rPr>
        <sz val="10"/>
        <rFont val="Arial"/>
        <family val="2"/>
      </rPr>
      <t xml:space="preserve">(changed from NOK 1.5-2.0bn) </t>
    </r>
  </si>
  <si>
    <r>
      <t xml:space="preserve">   </t>
    </r>
    <r>
      <rPr>
        <sz val="10"/>
        <rFont val="Arial"/>
        <family val="2"/>
      </rPr>
      <t xml:space="preserve">Impairment losses (as above) </t>
    </r>
  </si>
  <si>
    <t>EBIT, adjusted</t>
  </si>
  <si>
    <t xml:space="preserve">   Other income and expenses</t>
  </si>
  <si>
    <t>EBITDA, before income and expenses</t>
  </si>
  <si>
    <t>"EBIT, clean"</t>
  </si>
  <si>
    <t>"EBITDA, clean"</t>
  </si>
  <si>
    <t xml:space="preserve">   Other income and expenses (as above)</t>
  </si>
  <si>
    <t xml:space="preserve">   Special items included in opex</t>
  </si>
  <si>
    <t xml:space="preserve">   Special items included in opex (as above)</t>
  </si>
  <si>
    <t>Group (incl. Kyivstar, exl. India)</t>
  </si>
  <si>
    <t>Group (incl. Kyivstar and India)</t>
  </si>
  <si>
    <t>NOK 3.5-4.5bn</t>
  </si>
  <si>
    <t>For a more comprehensive reconciliation please see the analytical excel file and quarterly report</t>
  </si>
  <si>
    <r>
      <t xml:space="preserve">Outlook for 2009 </t>
    </r>
    <r>
      <rPr>
        <sz val="10"/>
        <rFont val="Arial"/>
        <family val="2"/>
      </rPr>
      <t>(adjustments in blue)</t>
    </r>
  </si>
  <si>
    <r>
      <t xml:space="preserve">Around 33-34% </t>
    </r>
    <r>
      <rPr>
        <sz val="10"/>
        <rFont val="Arial"/>
        <family val="2"/>
      </rPr>
      <t>(changed from 32-33%)</t>
    </r>
  </si>
  <si>
    <t xml:space="preserve">Telenor Q309 reconciliation </t>
  </si>
  <si>
    <t xml:space="preserve">Telenor Q409 reconciliation </t>
  </si>
  <si>
    <t>Q409</t>
  </si>
  <si>
    <t>Q408</t>
  </si>
  <si>
    <r>
      <t xml:space="preserve">Outlook for 2010 </t>
    </r>
    <r>
      <rPr>
        <sz val="10"/>
        <rFont val="Arial"/>
        <family val="2"/>
      </rPr>
      <t>(on reported structure, excl Kyivstar and incl India)</t>
    </r>
  </si>
  <si>
    <t>Low single digit growth</t>
  </si>
  <si>
    <t>32.5%</t>
  </si>
  <si>
    <t>16.5%</t>
  </si>
  <si>
    <t>NOK 3.7bn</t>
  </si>
  <si>
    <t>NOK 0.9bn</t>
  </si>
  <si>
    <t>27-28%</t>
  </si>
  <si>
    <t>14-16%</t>
  </si>
  <si>
    <t>NOK 2.5-3.5bn</t>
  </si>
  <si>
    <r>
      <t xml:space="preserve">Group </t>
    </r>
    <r>
      <rPr>
        <sz val="10"/>
        <rFont val="Arial"/>
        <family val="2"/>
      </rPr>
      <t>(excl. Kyivstar incl India)</t>
    </r>
  </si>
  <si>
    <t>NOK 4.5-5.0bn</t>
  </si>
  <si>
    <t>2009 (comparable numbers, Group excl Kyivstar incl India)</t>
  </si>
  <si>
    <t>Q110</t>
  </si>
  <si>
    <t>Q109</t>
  </si>
  <si>
    <t xml:space="preserve">Telenor Q110 reconciliation </t>
  </si>
  <si>
    <r>
      <t xml:space="preserve">Outlook for 2010 </t>
    </r>
    <r>
      <rPr>
        <sz val="10"/>
        <rFont val="Arial"/>
        <family val="2"/>
      </rPr>
      <t>(on reported structure, incl India)</t>
    </r>
  </si>
  <si>
    <t>Previous</t>
  </si>
  <si>
    <r>
      <t xml:space="preserve">Group </t>
    </r>
    <r>
      <rPr>
        <sz val="10"/>
        <rFont val="Arial"/>
        <family val="2"/>
      </rPr>
      <t>(incl India)</t>
    </r>
  </si>
  <si>
    <t>Around 28%</t>
  </si>
  <si>
    <t>13-14%</t>
  </si>
  <si>
    <t>NOK 2.0-2.5bn</t>
  </si>
  <si>
    <t>Other things:</t>
  </si>
  <si>
    <t>Associates line of NOK -93m includes NOK -63m IFRS adjustment of OJSC VimpelCom item not incl. in Telenor’s 2009 result.</t>
  </si>
  <si>
    <t>equity injection to Uninor, as a consequence of the revised IAS 27 effective from 1 January 2010.</t>
  </si>
  <si>
    <t>Net financials of - NOK 898m includes losses of NOK 375m related to the discontinuation of the hedging of the third and fourth</t>
  </si>
  <si>
    <t xml:space="preserve">Telenor Q210 reconciliation </t>
  </si>
  <si>
    <t>Q210</t>
  </si>
  <si>
    <t>Q209</t>
  </si>
  <si>
    <t>The main items included in the Associates line of NOK 7,608m:</t>
  </si>
  <si>
    <t>3-5%</t>
  </si>
  <si>
    <t>12-13%</t>
  </si>
  <si>
    <t>The Kyivstar sales gain of NOK 6,514 and Telenor's share of net profit for Q1 from OJSC VimpelCom and Kyivstar of NOK 977m (VIP 691m, Kyivstar 286m).</t>
  </si>
  <si>
    <t>Q2 2010</t>
  </si>
  <si>
    <t>Low single digit</t>
  </si>
  <si>
    <t xml:space="preserve">Organic revenue growth </t>
  </si>
  <si>
    <t>On the tax line there is a Kyivstar related capital gains tax of ~NOK 350m in addition to a positive tax effect from reversal of accrued witholding tax of NOK 1bn</t>
  </si>
  <si>
    <t>Q310</t>
  </si>
  <si>
    <t xml:space="preserve">Telenor Q310 reconciliation </t>
  </si>
  <si>
    <t>The main items included in the Associates line of NOK 1,049m:</t>
  </si>
  <si>
    <t>Contribution from VIP/Kyivstar of NOK 923m. Gain on sale of Intelecom in Opplysningen of NOK 53m. Remaining positive contribution mainly from A-pressen.</t>
  </si>
  <si>
    <t>Tax expenses include provision for tax expense of NOK 814m related to TRS agreement with VIP as underlying object.</t>
  </si>
  <si>
    <r>
      <t xml:space="preserve">Outlook for 2010 </t>
    </r>
    <r>
      <rPr>
        <sz val="10"/>
        <rFont val="Arial"/>
        <family val="2"/>
      </rPr>
      <t>(on reported structure, incl India and excluding EDB))</t>
    </r>
  </si>
  <si>
    <t>Q3 2010</t>
  </si>
  <si>
    <t>Around 5%</t>
  </si>
  <si>
    <t>30-31%</t>
  </si>
  <si>
    <t>Around 12%</t>
  </si>
  <si>
    <t>Around NOK 4.5bn</t>
  </si>
  <si>
    <t>NOK 1.5-2.0bn</t>
  </si>
  <si>
    <t>Of which EDB effect</t>
  </si>
  <si>
    <t>Incl. EDB</t>
  </si>
  <si>
    <t>- 0.5 pp</t>
  </si>
  <si>
    <t>- 1.7 pp</t>
  </si>
  <si>
    <t>- 0.6 pp</t>
  </si>
  <si>
    <t>Above 5%</t>
  </si>
  <si>
    <t>Around 31%</t>
  </si>
  <si>
    <t>Around NOK 4bn</t>
  </si>
  <si>
    <t>NOK 1.0-1.5bn</t>
  </si>
  <si>
    <t xml:space="preserve">Telenor Q410 reconciliation </t>
  </si>
  <si>
    <t>Q410</t>
  </si>
  <si>
    <t xml:space="preserve">Estimated effective tax rate </t>
  </si>
  <si>
    <t>Around 30%</t>
  </si>
  <si>
    <t/>
  </si>
  <si>
    <t>Outlook for 2011</t>
  </si>
  <si>
    <t>Profit from associated income is NOK 1,130m, of which VIP is NOK 1,238m</t>
  </si>
  <si>
    <t xml:space="preserve">Telenor Q111 reconciliation </t>
  </si>
  <si>
    <t>Q111</t>
  </si>
  <si>
    <t>Profit from associated income is NOK 1,100m, of which VIP is NOK 1,065m</t>
  </si>
  <si>
    <t xml:space="preserve">Telenor Q211 reconciliation </t>
  </si>
  <si>
    <t>Q211</t>
  </si>
  <si>
    <t>11-12%</t>
  </si>
  <si>
    <t xml:space="preserve"> </t>
  </si>
  <si>
    <t>&gt; Share of Q111 net result in VimpelCom: NOK 1.4bn</t>
  </si>
  <si>
    <t>&gt; Impairment of Cmore: NOK 0.5bn</t>
  </si>
  <si>
    <t>&gt; Gain on ~8% dilution of VIP stake: NOK 1.6bn</t>
  </si>
  <si>
    <r>
      <rPr>
        <b/>
        <sz val="10"/>
        <rFont val="Arial"/>
        <family val="2"/>
      </rPr>
      <t>1) Profit from associated</t>
    </r>
    <r>
      <rPr>
        <sz val="10"/>
        <rFont val="Arial"/>
        <family val="2"/>
      </rPr>
      <t xml:space="preserve"> companies is NOK 2,562m, which includes:</t>
    </r>
  </si>
  <si>
    <r>
      <rPr>
        <b/>
        <sz val="10"/>
        <rFont val="Arial"/>
        <family val="2"/>
      </rPr>
      <t>2) Net financials</t>
    </r>
    <r>
      <rPr>
        <sz val="10"/>
        <rFont val="Arial"/>
        <family val="2"/>
      </rPr>
      <t xml:space="preserve"> is positive of NOK 204 and include a FX gain of around NOK 350m.</t>
    </r>
  </si>
  <si>
    <t>Around NOK 1.0bn</t>
  </si>
  <si>
    <t xml:space="preserve">Previous outlook: </t>
  </si>
  <si>
    <t xml:space="preserve">Telenor Q311 reconciliation </t>
  </si>
  <si>
    <t>Q311</t>
  </si>
  <si>
    <t>6-7%</t>
  </si>
  <si>
    <t>Above 31%</t>
  </si>
  <si>
    <t>NOK 3.5-4.0 bn</t>
  </si>
  <si>
    <t>Outlook for 2012</t>
  </si>
  <si>
    <t>Q411</t>
  </si>
  <si>
    <t xml:space="preserve">Telenor Q411 reconciliation </t>
  </si>
  <si>
    <t>32-33%</t>
  </si>
  <si>
    <t>Around NOK 2.0 bn</t>
  </si>
  <si>
    <t>Around NOK 1.0 bn</t>
  </si>
  <si>
    <t>Dividend for 2011</t>
  </si>
  <si>
    <t xml:space="preserve">Other things </t>
  </si>
  <si>
    <t>The "net financials" line in Q4 2011 includes:  NOK -350 million, which is a loss on hedge of Uninor investment previously recorded to equity,</t>
  </si>
  <si>
    <t>and a non-cash accounting effect of NOK -180m connected to FX loss related to repatriation of DTAC and Telenor Serbia dividends.</t>
  </si>
  <si>
    <t xml:space="preserve">Proposed dividend per share of NOK 5.00 </t>
  </si>
  <si>
    <t>Total dividend payout of NOK 8.0 billion</t>
  </si>
  <si>
    <t>Q112</t>
  </si>
  <si>
    <t xml:space="preserve">Telenor Q112 reconciliation </t>
  </si>
  <si>
    <t xml:space="preserve">   Impairment  </t>
  </si>
  <si>
    <t>The "associated companies" line includes net contribution of NOK 202 million from VimpelCom and NOK 417 million from A-pressen (of which NOK 406 million sales gain from sale of stake in TV2)</t>
  </si>
  <si>
    <t>35-36%</t>
  </si>
  <si>
    <t>10-12%</t>
  </si>
  <si>
    <t>Above 4%</t>
  </si>
  <si>
    <t>For a more comprehensive reconciliation please see the analytical tool (excel file) and quarterly report</t>
  </si>
  <si>
    <t>The "net financials" line includes changes in fair value of financial instruments of NOK +789 million</t>
  </si>
  <si>
    <t>EBITDA, "clean"</t>
  </si>
  <si>
    <t>EBIT, "clean"</t>
  </si>
  <si>
    <t>EBITDA, before other income and expenses</t>
  </si>
  <si>
    <t>In addition, the Q1 EBITDA in Telenor Norway includes one-time effects on ARPU from Q4 mobile promotion (NOK -70m) and storm-related costs  (NOK -50m)</t>
  </si>
  <si>
    <t>Outlook for 2012*</t>
  </si>
  <si>
    <t>*) EBITDA before other items and capex excl licence and spectrum fees</t>
  </si>
  <si>
    <t>Net income to Telenor excl the write-down in India is NOK 3.2 billion this quarter, corresponding to an EPS of NOK 2.01</t>
  </si>
  <si>
    <r>
      <t xml:space="preserve">Due to the very uncertain situation in India we have decided this time to give full year guidance for the Group </t>
    </r>
    <r>
      <rPr>
        <u/>
        <sz val="10"/>
        <rFont val="Arial"/>
        <family val="2"/>
      </rPr>
      <t xml:space="preserve">excl </t>
    </r>
    <r>
      <rPr>
        <sz val="10"/>
        <rFont val="Arial"/>
        <family val="2"/>
      </rPr>
      <t>India. On a comparable basis the outlook is maintained vs previous quarter</t>
    </r>
  </si>
  <si>
    <t>EBITDA margin*</t>
  </si>
  <si>
    <t>Capex/sales*</t>
  </si>
  <si>
    <t>Q212</t>
  </si>
  <si>
    <t xml:space="preserve">Telenor Q212 reconciliation </t>
  </si>
  <si>
    <t>(YTD 4.4%)</t>
  </si>
  <si>
    <t>(YTD (35.2%)</t>
  </si>
  <si>
    <t>(YTD 10.8%)</t>
  </si>
  <si>
    <t>New 3% buyback programme launched</t>
  </si>
  <si>
    <t>35-36% (maintained)</t>
  </si>
  <si>
    <t>Above 4% (maintained)</t>
  </si>
  <si>
    <t>11-12% (previously 10-12%)</t>
  </si>
  <si>
    <t>Net financials of NOK -1087 million this quarter, of which -180 million currency losses and -285 million losses on fair value of financial instruments</t>
  </si>
  <si>
    <t>Restructuring of operations in India to focus on 9 best-performing circles, Targeting cash flow break even by end of 2013</t>
  </si>
  <si>
    <t>*) Group excl India. EBITDA before other items and capex excl licence fees</t>
  </si>
  <si>
    <t xml:space="preserve">Telenor Q312 reconciliation </t>
  </si>
  <si>
    <t>Q312</t>
  </si>
  <si>
    <t>Around 4% (previously above 4%)</t>
  </si>
  <si>
    <t>(YTD 3.8%)</t>
  </si>
  <si>
    <t>(YTD (36.0%)</t>
  </si>
  <si>
    <t>(YTD 11.8%)</t>
  </si>
  <si>
    <t>Around 12% (previously 11-12%)</t>
  </si>
  <si>
    <t xml:space="preserve">Reported capex in Q312 of NOK 5499 million include 2G licence renewal in Bangladesh of NOK 2166 million </t>
  </si>
  <si>
    <t>Contribution from associates of NOK 1099 million includes contribution from VimpelCom of NOK 1052 million</t>
  </si>
  <si>
    <t xml:space="preserve">Telenor Q412 reconciliation </t>
  </si>
  <si>
    <t>Q412</t>
  </si>
  <si>
    <t>Outlook for 2013*</t>
  </si>
  <si>
    <t>*) Group incl India. EBITDA before other items and capex excl licence fees</t>
  </si>
  <si>
    <t>Around 34%</t>
  </si>
  <si>
    <t xml:space="preserve">12-14% </t>
  </si>
  <si>
    <t>Reported revenues include one-time adjustments of NOK -81 million in  Norway and NOK -31 million in Sweden. Both adjustments are neutral on EBITDA</t>
  </si>
  <si>
    <t>Proposed dividend for 2012 of NOK 6.00 per share, for approval at AGM on 15 May</t>
  </si>
  <si>
    <t>Contribution from associates of NOK 1048 million includes net contribution from VimpelCom of NOK 1139 million</t>
  </si>
  <si>
    <t>Effective tax rate 2013 is estimated to be around 26%</t>
  </si>
  <si>
    <t>P&amp;L tax includesTelenor ASA  deferred tax benefits related to losses on Uninor guarantees  (NOK 2517 million), tax savings in Sweden  (NOK 406 million) and recognition of deferred tax asset in Pakistan (NOK 996 million)</t>
  </si>
  <si>
    <t>Q113</t>
  </si>
  <si>
    <t xml:space="preserve">Telenor Q113 reconciliation </t>
  </si>
  <si>
    <t>2% - 4%</t>
  </si>
  <si>
    <t>Previously 3% - 5%</t>
  </si>
  <si>
    <t>12% - 14%</t>
  </si>
  <si>
    <t>Group revenues include one off items of NOK -32m in Mobile Norway and NOK -30m in GrameenPhone. Neither of these items have significant EBITDA impact</t>
  </si>
  <si>
    <t>Note that an overview of some minor restatements is given in a separate document</t>
  </si>
  <si>
    <t xml:space="preserve">Telenor Q213 reconciliation </t>
  </si>
  <si>
    <t>Q213</t>
  </si>
  <si>
    <t xml:space="preserve">Group revenues include one off item of NOK -114m in Mobile Norway and NOK +47 m in dtac. These items flow directly through to EBITDA </t>
  </si>
  <si>
    <t>Outlook for 2013 maintained</t>
  </si>
  <si>
    <t>The associates line includes a one-time accounting effect of NOK -385m related to diltution of ownership in VimpelCom, as well as impairment of C More of NOK -311m</t>
  </si>
  <si>
    <t xml:space="preserve">Telenor Q313 reconciliation </t>
  </si>
  <si>
    <t>Q313</t>
  </si>
  <si>
    <t>Outlook for 2013 revised</t>
  </si>
  <si>
    <t>previously 2%-4%</t>
  </si>
  <si>
    <t>previously 12%-14%</t>
  </si>
  <si>
    <t>Unchanged</t>
  </si>
  <si>
    <t>An impairment loss of NOK 122m is related to intangible assets in Telenor Digital</t>
  </si>
  <si>
    <t>Net financials includes a currency loss of NOK 502m, mainly non-cash</t>
  </si>
  <si>
    <t>1%-2%</t>
  </si>
  <si>
    <t>13%-14%</t>
  </si>
  <si>
    <t>Q413</t>
  </si>
  <si>
    <t xml:space="preserve">Telenor Q413 reconciliation </t>
  </si>
  <si>
    <t xml:space="preserve">   Special items </t>
  </si>
  <si>
    <t xml:space="preserve">   Special items (as above)</t>
  </si>
  <si>
    <t>Stable vs 2013</t>
  </si>
  <si>
    <t>Around 16%</t>
  </si>
  <si>
    <t xml:space="preserve">   Impairment  losses</t>
  </si>
  <si>
    <t>Effective tax rate 2014 is estimated to be around 28%</t>
  </si>
  <si>
    <t>Proposed dividend for 2013 of NOK 7.00 per share, for approval at AGM on 14 May</t>
  </si>
  <si>
    <t>Contribution from associates of NOK 392 million includes net contribution from VimpelCom of NOK 590 million and our proportionate share of impairment in Evry ASA (NOK -160m)</t>
  </si>
  <si>
    <t>Financial items includes a one-time provison in dtac of NOK -169 million</t>
  </si>
  <si>
    <t>Outlook for 2014* (Excluding Myanmar)</t>
  </si>
  <si>
    <t>*)  EBITDA before other items and capex excl licence fees</t>
  </si>
  <si>
    <t>P&amp;L tax includes net one-time items of NOK +238m</t>
  </si>
  <si>
    <t>Minorities includes one-time non-cash item from completion of business transfer in India of NOK -660m</t>
  </si>
  <si>
    <t xml:space="preserve">Telenor Q114 reconciliation </t>
  </si>
  <si>
    <t>Q114</t>
  </si>
  <si>
    <t>Contribution from associates of NOK -1837 million includes net contribution from VimpelCom Q4 of NOK 413 million and our proportionate share (NOK -2019 million) of VimpelCom's one-time charge related to the Algeria transaction</t>
  </si>
  <si>
    <t>Financial items includes a one-time  effect in India of +170m, related to the licence offset</t>
  </si>
  <si>
    <r>
      <t xml:space="preserve">Outlook for 2014* (Excluding Myanmar) </t>
    </r>
    <r>
      <rPr>
        <b/>
        <i/>
        <sz val="12"/>
        <rFont val="Arial"/>
        <family val="2"/>
      </rPr>
      <t>MAINTAINED</t>
    </r>
  </si>
  <si>
    <t>Effective tax rate 2014 is estimated to be around 29%</t>
  </si>
  <si>
    <t>Q214</t>
  </si>
  <si>
    <t xml:space="preserve">Outlook for 2014* (Excluding Myanmar) </t>
  </si>
  <si>
    <t xml:space="preserve">Telenor Q214 reconciliation </t>
  </si>
  <si>
    <t>Previous: "Stable vs 2013"</t>
  </si>
  <si>
    <t>Maintained</t>
  </si>
  <si>
    <t>14-15%</t>
  </si>
  <si>
    <t xml:space="preserve"> (Maintained)</t>
  </si>
  <si>
    <t>Contribution from associates of NOK -398 million includes net contribution from VimpelCom Q1 of NOK 102 million and our proportionate share (NOK -399 million) of VimpelCom one-time items related to the Algeria and Uzbekistan</t>
  </si>
  <si>
    <t>The associated companies line also includes a contribution of NOK -220 million from the online classifieds joint ventures with Schibsted, and a net one-time effect of NOK -78 million related to the sale of ownership stake in Cmore</t>
  </si>
  <si>
    <t>Above 2013 level</t>
  </si>
  <si>
    <t>Previous: "Around 16%". Adjusted due to satellite related capex shifted to 2015 (NOK 1.4 bn)</t>
  </si>
  <si>
    <t xml:space="preserve">Telenor Q314 reconciliation </t>
  </si>
  <si>
    <t>Q314</t>
  </si>
  <si>
    <t>The associated companies line also includes a contribution of NOK -238 million from the online classifieds joint ventures with Schibsted and Singapore Press Holding, and a net one-time effect of NOK -276 million related to impairment loss in Amedia</t>
  </si>
  <si>
    <t>Effective tax rate 2014 is estimated to be around 31%</t>
  </si>
  <si>
    <t xml:space="preserve"> (previously 29%)</t>
  </si>
  <si>
    <t>Operating cash flow target 2015</t>
  </si>
  <si>
    <t>A revised operating cash flow target for 2015 will be provided at the 4th quarter results release in February</t>
  </si>
  <si>
    <t>Contribution from associates of NOK -291 million includes net contribution from VimpelCom Q2 of NOK 204 million .</t>
  </si>
  <si>
    <t>The operating cash flow target of NOK 28-30 bn in 2015 is concidered to be too ambitious due to satellite launch moved from 2014 to 2015, weaker than expected revenue growth in Thailand and and Denmark in 2014, as well as good opportunity to monetise data investments (see slide #23 in the Q3 presentation)</t>
  </si>
  <si>
    <t>Q414</t>
  </si>
  <si>
    <t xml:space="preserve">Outlook for 2015* (Continued operations, including Myanmar) </t>
  </si>
  <si>
    <t>33-35%</t>
  </si>
  <si>
    <t>In line with 2014 level, adjusted for the broadcasting satellite</t>
  </si>
  <si>
    <t>Effective tax rate 2015 is estimated to be around 31%</t>
  </si>
  <si>
    <t>The Board intends to pay out a dividend for 2014 of NOK 7.30 per share, with payout in two tranches (NOK 3.80 in June and NOK 3.50 in November)</t>
  </si>
  <si>
    <t>Net financials includes currency losses of NOK 221 million, mainly non-cash</t>
  </si>
  <si>
    <t>Contribution from associates of NOK 100 million includes net contribution from VimpelCom Q3 of NOK 160 million, Online classifieds NOK -173 million and Evry NOK +194m</t>
  </si>
  <si>
    <t>Telenor Denmark is now classified as a discontinued operation, and not included in the numbers above</t>
  </si>
  <si>
    <t>Mid-single digit</t>
  </si>
  <si>
    <t xml:space="preserve">Telenor Q414 reconciliation </t>
  </si>
  <si>
    <t xml:space="preserve">Telenor Q115 reconciliation </t>
  </si>
  <si>
    <t>Q115</t>
  </si>
  <si>
    <t>Contribution from associates of NOK 653 million includes the adj net contribution from VimpelCom Q4 of NOK 195 million, Evry sales gain of NOK 224 million and Online Classifieds (non-cash) gain of NOK 275 million, related to the JV transactions with Naspers</t>
  </si>
  <si>
    <r>
      <t xml:space="preserve">5-7% </t>
    </r>
    <r>
      <rPr>
        <i/>
        <sz val="10"/>
        <rFont val="Arial"/>
        <family val="2"/>
      </rPr>
      <t>(Previously: "Mid-single digit")</t>
    </r>
  </si>
  <si>
    <r>
      <t xml:space="preserve">34-36% </t>
    </r>
    <r>
      <rPr>
        <i/>
        <sz val="10"/>
        <rFont val="Arial"/>
        <family val="2"/>
      </rPr>
      <t>(Previously: "33-35%")</t>
    </r>
  </si>
  <si>
    <r>
      <t xml:space="preserve">17-19% incl satellite </t>
    </r>
    <r>
      <rPr>
        <i/>
        <sz val="10"/>
        <rFont val="Arial"/>
        <family val="2"/>
      </rPr>
      <t>(Previously: "In line with 2014 excl satellite", ie corresponding to around 17% incl satellite)</t>
    </r>
  </si>
  <si>
    <r>
      <t xml:space="preserve">Effective tax rate for 2015 is estimated to be around 29% </t>
    </r>
    <r>
      <rPr>
        <i/>
        <sz val="10"/>
        <rFont val="Arial"/>
        <family val="2"/>
      </rPr>
      <t>(Previously: "Around 31%")</t>
    </r>
  </si>
  <si>
    <t xml:space="preserve">Telenor Q215 reconciliation </t>
  </si>
  <si>
    <r>
      <t xml:space="preserve">5-7% </t>
    </r>
    <r>
      <rPr>
        <i/>
        <sz val="10"/>
        <rFont val="Arial"/>
        <family val="2"/>
      </rPr>
      <t>(Maintained)</t>
    </r>
  </si>
  <si>
    <r>
      <t xml:space="preserve">34-36% </t>
    </r>
    <r>
      <rPr>
        <i/>
        <sz val="10"/>
        <rFont val="Arial"/>
        <family val="2"/>
      </rPr>
      <t>(Maintained)</t>
    </r>
  </si>
  <si>
    <r>
      <t xml:space="preserve">17-19% incl satellite </t>
    </r>
    <r>
      <rPr>
        <i/>
        <sz val="10"/>
        <rFont val="Arial"/>
        <family val="2"/>
      </rPr>
      <t>(Maintained)</t>
    </r>
  </si>
  <si>
    <t>Contribution from associates of NOK 452 million includes the adj net contribution from VimpelCom Q1 of NOK 489 million and Online Classifieds of NOK -64 million</t>
  </si>
  <si>
    <r>
      <t xml:space="preserve">Effective tax rate for 2015 is estimated to be around 29% </t>
    </r>
    <r>
      <rPr>
        <i/>
        <sz val="10"/>
        <rFont val="Arial"/>
        <family val="2"/>
      </rPr>
      <t>(Maintained)</t>
    </r>
  </si>
  <si>
    <t>Q215</t>
  </si>
  <si>
    <t>17-19%</t>
  </si>
  <si>
    <t>Previously 34-36%</t>
  </si>
  <si>
    <t>34-35%</t>
  </si>
  <si>
    <t>Previously 5-7%</t>
  </si>
  <si>
    <t>Q315</t>
  </si>
  <si>
    <t xml:space="preserve">Telenor Q315 reconciliation </t>
  </si>
  <si>
    <t>For a more comprehensive reconciliation please see the analytical tool (excel file) and the quarterly report</t>
  </si>
  <si>
    <t>Outlook for 2015 (now including Denmark)</t>
  </si>
  <si>
    <t xml:space="preserve">   Impairments</t>
  </si>
  <si>
    <t>On 5 October 2015, Telenor announced its intention to divest all its shares in VimpelCom Ltd. As a consequence of this decision, an impairment loss of NOK 7.5 bn has been recorded, of which 5.4 bn is recognised in the income statement in Q3 2015 while the remaining effects will be recorded as other comprehensive income.</t>
  </si>
  <si>
    <t>YTD</t>
  </si>
  <si>
    <t xml:space="preserve">D&amp;A in Q3 includes accelerated depreciations in India of NOK 122m. </t>
  </si>
  <si>
    <t>On 27 October 2015, the Board of Directors of Telenor ASA resolved a second semi-annual dividend for the financial year 2014 of NOK 3.50 per share, in-line with previous communication. Including the NOK 3.80 per share paid out in June 2015 this brings the total dividends for the year to NOK 7.30 per share. The shares will be traded ex dividend on 2 November 2015. The record date is 3 November and the pay-out will be on or about 12 November 2015.</t>
  </si>
  <si>
    <t>Year to date, the inclusion of Telenor Denmark impacts the EBITDA margin negatively with around 1 percentage point and organic revenue growth negatively with 0.3 percentage points.</t>
  </si>
  <si>
    <t xml:space="preserve">Telenor Q415 reconciliation </t>
  </si>
  <si>
    <t>Q415</t>
  </si>
  <si>
    <t xml:space="preserve">D&amp;A in Q4 includes accelerated depreciations in India of NOK 181m. </t>
  </si>
  <si>
    <t>Outlook for 2016</t>
  </si>
  <si>
    <t>2-4%</t>
  </si>
  <si>
    <t>33-34%</t>
  </si>
  <si>
    <t>The Telenor Board of Directors will propose a dividend of NOK 4.00 per share (NOK 6.0 bn to be resolved by the general meeting in May 2016, and
paid out in May 2016. In addition, the Board will ask the general meeting for an authority to resolve further dividends, pursuant to which the Board
plans to resolve a dividend of NOK 3.50 per share (NOK 5.3 bn) to be paid in November 2016. In total this will bring the ordinary dividend for the
fiscal year 2015 to NOK 7.50 per share (NOK 11.3 bn).</t>
  </si>
  <si>
    <t>Telenor's share of net income from associated companies and JVs includes a negative contribution from VimpelCom of NOK 2.8 bn, impacted by Telenor's share of VimpelCom's USD 900m provision related to ongoing investigation.</t>
  </si>
  <si>
    <t>The effective tax rate for 2016 is estimated to be around 29%</t>
  </si>
  <si>
    <t>34,5%</t>
  </si>
  <si>
    <t>4,7%</t>
  </si>
  <si>
    <t>18,4%</t>
  </si>
  <si>
    <t>Impairment Denmark: As a consequence of updated earnings projections in the Danish telecom market, 
Telenor recognised in Q4 2014 an impairment loss amounting to NOK 2.1 billion related to tangible and intangible assets in Telenor Denmark.</t>
  </si>
  <si>
    <t>Dividend for 2015</t>
  </si>
  <si>
    <t xml:space="preserve">   *)  EBITDA before other items and capex excl licence fees</t>
  </si>
  <si>
    <t>Q116</t>
  </si>
  <si>
    <t xml:space="preserve">Outlook for 2016 (maintained) </t>
  </si>
  <si>
    <t xml:space="preserve">D&amp;A in Q1 includes accelerated depreciations in India of NOK 131m. </t>
  </si>
  <si>
    <t>Net financials includes a non-cash currency loss of NOK 577m, mainly related to a partial repayment of internal loans</t>
  </si>
  <si>
    <t>Telenor's share of net income from associated companies and JVs includes a non-cash reversal of impairment of NOK 4.4bn related to VimpelCom,  and an accounting loss of NOK 363m related to the sale of Amedia</t>
  </si>
  <si>
    <r>
      <t xml:space="preserve">The effective tax rate for 2016 is estimated to be around 29% </t>
    </r>
    <r>
      <rPr>
        <i/>
        <sz val="10"/>
        <rFont val="Arial"/>
        <family val="2"/>
      </rPr>
      <t>(maintained)</t>
    </r>
  </si>
  <si>
    <t xml:space="preserve">Telenor Q116 reconciliation </t>
  </si>
  <si>
    <t xml:space="preserve">Telenor Q216 reconciliation </t>
  </si>
  <si>
    <t>Q216</t>
  </si>
  <si>
    <t>1.0%</t>
  </si>
  <si>
    <t>35.5%</t>
  </si>
  <si>
    <t>1-2%</t>
  </si>
  <si>
    <t xml:space="preserve">Around 35% </t>
  </si>
  <si>
    <t>Around 17%</t>
  </si>
  <si>
    <t>Previously 2-4%</t>
  </si>
  <si>
    <t>Previously 33-34%</t>
  </si>
  <si>
    <t>Previously 17-19%</t>
  </si>
  <si>
    <t>Outlook for 2016 (revised)</t>
  </si>
  <si>
    <t>Telenor's share of net income from associated companies and JVs includes a non-cash impairment loss of NOK 2.5bn related to VimpelCom</t>
  </si>
  <si>
    <t xml:space="preserve">Telenor Q316 reconciliation </t>
  </si>
  <si>
    <t>Q316</t>
  </si>
  <si>
    <t>Outlook for 2016 (maintained)</t>
  </si>
  <si>
    <t>1.3%</t>
  </si>
  <si>
    <t>36.3%</t>
  </si>
  <si>
    <t>16.1%</t>
  </si>
  <si>
    <t>The P&amp;L in Q316 includes significant one-time items related to VimpelCom: NOK -5.3 bn in the associates line, NOK +0.4 bn on the tax line, and NOK -0.5 bn in net financial items</t>
  </si>
  <si>
    <t>These items are partly related to the sale of VimpelCom shares and exchangeable bond, and partly due to change in market value during the quarter</t>
  </si>
  <si>
    <r>
      <t xml:space="preserve">The effective tax rate for 2016 is estimated to be around 50% </t>
    </r>
    <r>
      <rPr>
        <i/>
        <sz val="10"/>
        <rFont val="Arial"/>
        <family val="2"/>
      </rPr>
      <t>(previously 29%, changed due to the above-mentioned one-time effects)</t>
    </r>
  </si>
  <si>
    <t>Operting profit, reported</t>
  </si>
  <si>
    <t>Operating profit, adjusted</t>
  </si>
  <si>
    <t>Operating profit, "clean"</t>
  </si>
  <si>
    <t xml:space="preserve">Telenor Q416 reconciliation </t>
  </si>
  <si>
    <t>Q416</t>
  </si>
  <si>
    <t>These items are partly related to change in market value of the VimpelCom shares and exchangeable bond during the quarter, and partly our proportionate share of VimpelCom's net income in Q3 2016</t>
  </si>
  <si>
    <t>1.1%</t>
  </si>
  <si>
    <t>35.4%</t>
  </si>
  <si>
    <t>17.3%</t>
  </si>
  <si>
    <t xml:space="preserve">Outlook for 2017 </t>
  </si>
  <si>
    <t>15-16%</t>
  </si>
  <si>
    <t>Around 36%</t>
  </si>
  <si>
    <t>The P&amp;L in Q416 includes the following items related to VimpelCom: NOK 1.5 bn in the associates line, and NOK -0.5 bn in net financial items (the latter related to the exchangeable bond)</t>
  </si>
  <si>
    <t>The Board of Directors proposes a total dividend of NOK 7.80 per share for 2016, to be paid in two instalments (NOK 4.30 in May and NOK 3.50 in November)</t>
  </si>
  <si>
    <t>The effective tax rate for 2017 is estimated to be around 28%</t>
  </si>
  <si>
    <t>Operating profit, reported</t>
  </si>
  <si>
    <t xml:space="preserve">Telenor Q117 reconciliation </t>
  </si>
  <si>
    <t>Q117</t>
  </si>
  <si>
    <t>With effect from Q1 2017, Telenor India is treated as discontinued operations in Telenor Group's financial reporting. For comparison, historical figures for 2016 have been re-presented</t>
  </si>
  <si>
    <t>Around 37%</t>
  </si>
  <si>
    <t>2016 ex. India</t>
  </si>
  <si>
    <t>0.8%</t>
  </si>
  <si>
    <t>36.7%</t>
  </si>
  <si>
    <t>17.4%</t>
  </si>
  <si>
    <t>0.2%</t>
  </si>
  <si>
    <t>37.6%</t>
  </si>
  <si>
    <t>14.9%</t>
  </si>
  <si>
    <t>Outlook for 2017  - adjusted to reflect current Group structure excl India</t>
  </si>
  <si>
    <t>The P&amp;L in Q117 includes the following items related to VEON: NOK 1.1 bn in the associates line, and NOK -0.1 bn in net financial items (the latter related to the exchangeable bond)</t>
  </si>
  <si>
    <t>Revenues in Q1 2017 includes a postive one-time effect in Sweden of NOK 55m (neutral on EBITDA). In Q1 2016, revenues qwere impacted by a positive one-time effect in Broadcast of NOK 224m</t>
  </si>
  <si>
    <t>Revenues and EBITDA  in Telenor Norway in Q1 2017 are impacted by NOK -85m from launch of data rollover. No cash flow effect.</t>
  </si>
  <si>
    <t>Q217</t>
  </si>
  <si>
    <t xml:space="preserve">Telenor Q217 reconciliation </t>
  </si>
  <si>
    <t xml:space="preserve">Outlook for 2017  </t>
  </si>
  <si>
    <t>MAINTAINED</t>
  </si>
  <si>
    <t>Up from "Around 37%"</t>
  </si>
  <si>
    <t>37-39%</t>
  </si>
  <si>
    <t>2016 (ex. India)</t>
  </si>
  <si>
    <t>1.2%</t>
  </si>
  <si>
    <t>39.0%</t>
  </si>
  <si>
    <t>14.4%</t>
  </si>
  <si>
    <t>The P&amp;L below the EBITDA line  is impacted by one-time effects from VEON and online classifieds, in line with earlier communication:</t>
  </si>
  <si>
    <t>* Associated companies companies  line includes VEON related effects of NOK -9.1 bn (mainly from reclassification) and online classifieds effect of NOK +3.4 bn (net effect +3.0 bn incl the impairment of NOK- 0.4 bn)</t>
  </si>
  <si>
    <t>* Net financials includes NOK+0.7 bn in dividends received from VEON, and NOK +0.2 bn effect from exchangable bond</t>
  </si>
  <si>
    <t>* Tax line includes NOK +1.1 bn effect from reclassification of VEON</t>
  </si>
  <si>
    <t xml:space="preserve">Telenor Q317 reconciliation </t>
  </si>
  <si>
    <t>Q317</t>
  </si>
  <si>
    <t>38-39%</t>
  </si>
  <si>
    <t>40.1%</t>
  </si>
  <si>
    <t>13.8%</t>
  </si>
  <si>
    <t>Outlook for 2017  MAINTAINED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</si>
</sst>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 %"/>
  </numFmts>
  <fonts count="32" x14ac:knownFonts="1">
    <font>
      <sz val="10"/>
      <name val="Arial"/>
    </font>
    <font>
      <sz val="10"/>
      <name val="Arial"/>
      <family val="2"/>
    </font>
    <font>
      <sz val="8"/>
      <name val="Arial"/>
      <family val="2"/>
    </font>
    <font>
      <sz val="8"/>
      <color indexed="81"/>
      <name val="Tahoma"/>
      <family val="2"/>
    </font>
    <font>
      <b/>
      <sz val="10"/>
      <name val="Arial"/>
      <family val="2"/>
    </font>
    <font>
      <sz val="8"/>
      <name val="Arial"/>
      <family val="2"/>
    </font>
    <font>
      <b/>
      <sz val="12"/>
      <name val="Arial"/>
      <family val="2"/>
    </font>
    <font>
      <sz val="10"/>
      <color indexed="10"/>
      <name val="Arial"/>
      <family val="2"/>
    </font>
    <font>
      <sz val="10"/>
      <name val="Arial"/>
      <family val="2"/>
    </font>
    <font>
      <sz val="10"/>
      <color indexed="48"/>
      <name val="Arial"/>
      <family val="2"/>
    </font>
    <font>
      <sz val="8"/>
      <color indexed="10"/>
      <name val="Tahoma"/>
      <family val="2"/>
    </font>
    <font>
      <sz val="10"/>
      <color indexed="48"/>
      <name val="Arial"/>
      <family val="2"/>
    </font>
    <font>
      <i/>
      <sz val="10"/>
      <name val="Arial"/>
      <family val="2"/>
    </font>
    <font>
      <sz val="9"/>
      <name val="Arial"/>
      <family val="2"/>
    </font>
    <font>
      <i/>
      <u/>
      <sz val="10"/>
      <name val="Arial"/>
      <family val="2"/>
    </font>
    <font>
      <u/>
      <sz val="10"/>
      <name val="Arial"/>
      <family val="2"/>
    </font>
    <font>
      <sz val="10"/>
      <color rgb="FFFF0000"/>
      <name val="Arial"/>
      <family val="2"/>
    </font>
    <font>
      <b/>
      <sz val="10"/>
      <color rgb="FFFF0000"/>
      <name val="Arial"/>
      <family val="2"/>
    </font>
    <font>
      <sz val="9"/>
      <color indexed="81"/>
      <name val="Tahoma"/>
      <family val="2"/>
    </font>
    <font>
      <i/>
      <u/>
      <sz val="9"/>
      <name val="Arial"/>
      <family val="2"/>
    </font>
    <font>
      <sz val="8"/>
      <color indexed="81"/>
      <name val="Verdana"/>
      <family val="2"/>
    </font>
    <font>
      <b/>
      <i/>
      <sz val="12"/>
      <name val="Arial"/>
      <family val="2"/>
    </font>
    <font>
      <b/>
      <sz val="12"/>
      <color rgb="FFFF0000"/>
      <name val="Arial"/>
      <family val="2"/>
    </font>
    <font>
      <i/>
      <sz val="10"/>
      <color rgb="FFFF0000"/>
      <name val="Arial"/>
      <family val="2"/>
    </font>
    <font>
      <sz val="9"/>
      <color indexed="81"/>
      <name val="Arial"/>
      <family val="2"/>
    </font>
    <font>
      <sz val="9"/>
      <color rgb="FFFF0000"/>
      <name val="Arial"/>
      <family val="2"/>
    </font>
    <font>
      <i/>
      <sz val="10"/>
      <color theme="0" tint="-0.499984740745262"/>
      <name val="Arial"/>
      <family val="2"/>
    </font>
    <font>
      <sz val="10"/>
      <name val="Arial"/>
      <family val="2"/>
    </font>
    <font>
      <sz val="10"/>
      <color indexed="81"/>
      <name val="Arial"/>
      <family val="2"/>
    </font>
    <font>
      <sz val="12"/>
      <name val="Arial"/>
      <family val="2"/>
    </font>
    <font>
      <sz val="12"/>
      <color rgb="FFFF0000"/>
      <name val="Arial"/>
      <family val="2"/>
    </font>
    <font>
      <i/>
      <sz val="10"/>
      <color theme="1" tint="0.49998474074526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4" fontId="1" fillId="0" borderId="0" applyFont="0" applyFill="0" applyBorder="0" applyAlignment="0" applyProtection="0"/>
    <xf numFmtId="0" fontId="8" fillId="0" borderId="0"/>
    <xf numFmtId="164" fontId="8" fillId="0" borderId="0" applyFont="0" applyFill="0" applyBorder="0" applyAlignment="0" applyProtection="0"/>
    <xf numFmtId="164" fontId="1" fillId="0" borderId="0" applyFont="0" applyFill="0" applyBorder="0" applyAlignment="0" applyProtection="0"/>
    <xf numFmtId="0" fontId="1" fillId="0" borderId="0"/>
    <xf numFmtId="9" fontId="27" fillId="0" borderId="0" applyFont="0" applyFill="0" applyBorder="0" applyAlignment="0" applyProtection="0"/>
  </cellStyleXfs>
  <cellXfs count="190">
    <xf numFmtId="0" fontId="0" fillId="0" borderId="0" xfId="0"/>
    <xf numFmtId="0" fontId="4" fillId="0" borderId="0" xfId="0" applyFont="1" applyAlignment="1">
      <alignment horizontal="right"/>
    </xf>
    <xf numFmtId="0" fontId="4" fillId="0" borderId="0" xfId="0" applyFont="1"/>
    <xf numFmtId="0" fontId="5" fillId="0" borderId="0" xfId="0" applyFont="1"/>
    <xf numFmtId="0" fontId="6" fillId="0" borderId="0" xfId="0" applyFont="1"/>
    <xf numFmtId="0" fontId="9" fillId="0" borderId="0" xfId="0" applyFont="1"/>
    <xf numFmtId="3" fontId="0" fillId="0" borderId="0" xfId="0" applyNumberFormat="1"/>
    <xf numFmtId="3" fontId="0" fillId="0" borderId="0" xfId="0" applyNumberFormat="1" applyFill="1"/>
    <xf numFmtId="9" fontId="0" fillId="0" borderId="0" xfId="0" applyNumberFormat="1" applyAlignment="1">
      <alignment horizontal="left"/>
    </xf>
    <xf numFmtId="0" fontId="0" fillId="0" borderId="0" xfId="0" applyAlignment="1">
      <alignment horizontal="left"/>
    </xf>
    <xf numFmtId="0" fontId="8" fillId="0" borderId="0" xfId="0" applyFont="1"/>
    <xf numFmtId="0" fontId="11" fillId="0" borderId="0" xfId="0" applyFont="1"/>
    <xf numFmtId="0" fontId="11" fillId="0" borderId="0" xfId="0" applyFont="1" applyFill="1"/>
    <xf numFmtId="0" fontId="8" fillId="0" borderId="0" xfId="0" applyFont="1" applyFill="1"/>
    <xf numFmtId="0" fontId="12" fillId="0" borderId="0" xfId="0" applyFont="1"/>
    <xf numFmtId="0" fontId="12" fillId="0" borderId="0" xfId="0" applyFont="1" applyFill="1"/>
    <xf numFmtId="0" fontId="12" fillId="0" borderId="0" xfId="0" applyFont="1" applyAlignment="1">
      <alignment horizontal="left"/>
    </xf>
    <xf numFmtId="0" fontId="6" fillId="0" borderId="0" xfId="0" applyFont="1" applyFill="1"/>
    <xf numFmtId="0" fontId="0" fillId="0" borderId="0" xfId="0" applyFill="1"/>
    <xf numFmtId="10" fontId="8" fillId="0" borderId="0" xfId="0" applyNumberFormat="1" applyFont="1" applyFill="1"/>
    <xf numFmtId="0" fontId="0" fillId="2" borderId="0" xfId="0" applyFill="1"/>
    <xf numFmtId="0" fontId="12" fillId="2" borderId="0" xfId="0" applyFont="1" applyFill="1"/>
    <xf numFmtId="10" fontId="12" fillId="2" borderId="0" xfId="0" applyNumberFormat="1" applyFont="1" applyFill="1"/>
    <xf numFmtId="0" fontId="12" fillId="2" borderId="0" xfId="0" quotePrefix="1" applyFont="1" applyFill="1"/>
    <xf numFmtId="0" fontId="12" fillId="3" borderId="0" xfId="0" applyFont="1" applyFill="1"/>
    <xf numFmtId="10" fontId="12" fillId="3" borderId="0" xfId="0" applyNumberFormat="1" applyFont="1" applyFill="1"/>
    <xf numFmtId="0" fontId="12" fillId="3" borderId="0" xfId="0" quotePrefix="1" applyFont="1" applyFill="1"/>
    <xf numFmtId="0" fontId="0" fillId="3" borderId="0" xfId="0" applyFill="1"/>
    <xf numFmtId="0" fontId="8" fillId="0" borderId="0" xfId="0" quotePrefix="1" applyFont="1"/>
    <xf numFmtId="10" fontId="8" fillId="2" borderId="0" xfId="0" applyNumberFormat="1" applyFont="1" applyFill="1"/>
    <xf numFmtId="0" fontId="8" fillId="2" borderId="0" xfId="0" applyFont="1" applyFill="1"/>
    <xf numFmtId="0" fontId="13" fillId="0" borderId="0" xfId="0" applyFont="1" applyAlignment="1">
      <alignment horizontal="left" indent="1"/>
    </xf>
    <xf numFmtId="0" fontId="8" fillId="0" borderId="0" xfId="0" applyFont="1" applyAlignment="1">
      <alignment horizontal="left" indent="1"/>
    </xf>
    <xf numFmtId="0" fontId="8" fillId="0" borderId="0" xfId="0" applyFont="1" applyFill="1" applyAlignment="1">
      <alignment horizontal="left" indent="1"/>
    </xf>
    <xf numFmtId="0" fontId="13" fillId="0" borderId="0" xfId="0" applyFont="1" applyFill="1" applyAlignment="1">
      <alignment horizontal="left" indent="2"/>
    </xf>
    <xf numFmtId="0" fontId="13" fillId="0" borderId="0" xfId="0" applyFont="1" applyAlignment="1">
      <alignment horizontal="left" indent="2"/>
    </xf>
    <xf numFmtId="0" fontId="16" fillId="0" borderId="0" xfId="0" applyFont="1"/>
    <xf numFmtId="165" fontId="0" fillId="0" borderId="0" xfId="1" applyNumberFormat="1" applyFont="1"/>
    <xf numFmtId="165" fontId="0" fillId="0" borderId="0" xfId="1" applyNumberFormat="1" applyFont="1" applyFill="1"/>
    <xf numFmtId="0" fontId="14" fillId="2" borderId="0" xfId="0" applyFont="1" applyFill="1"/>
    <xf numFmtId="0" fontId="13" fillId="0" borderId="0" xfId="0" applyFont="1"/>
    <xf numFmtId="0" fontId="14" fillId="3" borderId="0" xfId="0" applyFont="1" applyFill="1"/>
    <xf numFmtId="0" fontId="13" fillId="0" borderId="0" xfId="0" applyFont="1" applyAlignment="1"/>
    <xf numFmtId="0" fontId="17" fillId="0" borderId="0" xfId="0" applyFont="1"/>
    <xf numFmtId="165" fontId="0" fillId="0" borderId="0" xfId="1" applyNumberFormat="1" applyFont="1" applyAlignment="1">
      <alignment horizontal="right"/>
    </xf>
    <xf numFmtId="0" fontId="8" fillId="0" borderId="0" xfId="0" applyFont="1" applyAlignment="1"/>
    <xf numFmtId="0" fontId="13" fillId="0" borderId="0" xfId="0" applyFont="1" applyFill="1"/>
    <xf numFmtId="0" fontId="16" fillId="0" borderId="0" xfId="0" applyFont="1" applyFill="1"/>
    <xf numFmtId="0" fontId="0" fillId="0" borderId="0" xfId="0" applyAlignment="1"/>
    <xf numFmtId="0" fontId="13" fillId="0" borderId="0" xfId="0" applyFont="1" applyFill="1" applyAlignment="1"/>
    <xf numFmtId="0" fontId="0" fillId="0" borderId="0" xfId="0" applyFill="1" applyAlignment="1"/>
    <xf numFmtId="0" fontId="8" fillId="0" borderId="0" xfId="2"/>
    <xf numFmtId="0" fontId="4" fillId="0" borderId="0" xfId="2" applyFont="1"/>
    <xf numFmtId="0" fontId="17" fillId="0" borderId="0" xfId="2" applyFont="1"/>
    <xf numFmtId="0" fontId="8" fillId="0" borderId="0" xfId="2" applyFont="1" applyAlignment="1"/>
    <xf numFmtId="0" fontId="8" fillId="3" borderId="0" xfId="2" applyFill="1"/>
    <xf numFmtId="0" fontId="12" fillId="3" borderId="0" xfId="2" applyFont="1" applyFill="1"/>
    <xf numFmtId="0" fontId="8" fillId="0" borderId="0" xfId="2" applyFont="1"/>
    <xf numFmtId="0" fontId="12" fillId="3" borderId="0" xfId="2" quotePrefix="1" applyFont="1" applyFill="1"/>
    <xf numFmtId="0" fontId="8" fillId="0" borderId="0" xfId="2" applyFont="1" applyFill="1"/>
    <xf numFmtId="10" fontId="8" fillId="0" borderId="0" xfId="2" applyNumberFormat="1" applyFont="1" applyFill="1"/>
    <xf numFmtId="0" fontId="16" fillId="0" borderId="0" xfId="2" applyFont="1"/>
    <xf numFmtId="0" fontId="6" fillId="0" borderId="0" xfId="2" applyFont="1"/>
    <xf numFmtId="0" fontId="13" fillId="0" borderId="0" xfId="2" applyFont="1"/>
    <xf numFmtId="3" fontId="8" fillId="0" borderId="0" xfId="2" applyNumberFormat="1"/>
    <xf numFmtId="165" fontId="0" fillId="0" borderId="0" xfId="3" applyNumberFormat="1" applyFont="1"/>
    <xf numFmtId="3" fontId="8" fillId="0" borderId="0" xfId="2" applyNumberFormat="1" applyFill="1"/>
    <xf numFmtId="165" fontId="0" fillId="0" borderId="0" xfId="3" applyNumberFormat="1" applyFont="1" applyFill="1"/>
    <xf numFmtId="0" fontId="4" fillId="0" borderId="0" xfId="2" applyFont="1" applyAlignment="1">
      <alignment horizontal="right"/>
    </xf>
    <xf numFmtId="165" fontId="8" fillId="0" borderId="0" xfId="3" applyNumberFormat="1" applyFont="1" applyFill="1"/>
    <xf numFmtId="0" fontId="19" fillId="0" borderId="0" xfId="2" applyFont="1"/>
    <xf numFmtId="0" fontId="1" fillId="0" borderId="0" xfId="2" applyFont="1"/>
    <xf numFmtId="0" fontId="13" fillId="0" borderId="0" xfId="2" applyFont="1" applyFill="1"/>
    <xf numFmtId="10" fontId="1" fillId="0" borderId="0" xfId="2" applyNumberFormat="1" applyFont="1" applyFill="1"/>
    <xf numFmtId="0" fontId="1" fillId="0" borderId="0" xfId="2" applyFont="1" applyFill="1"/>
    <xf numFmtId="0" fontId="12" fillId="0" borderId="0" xfId="2" applyFont="1"/>
    <xf numFmtId="0" fontId="1" fillId="0" borderId="0" xfId="0" applyFont="1"/>
    <xf numFmtId="0" fontId="1" fillId="0" borderId="0" xfId="0" applyFont="1" applyFill="1"/>
    <xf numFmtId="10" fontId="1" fillId="0" borderId="0" xfId="0" applyNumberFormat="1" applyFont="1" applyFill="1"/>
    <xf numFmtId="3" fontId="0" fillId="0" borderId="0" xfId="1" applyNumberFormat="1" applyFont="1"/>
    <xf numFmtId="0" fontId="1" fillId="0" borderId="0" xfId="0" applyFont="1" applyFill="1" applyAlignment="1"/>
    <xf numFmtId="0" fontId="22" fillId="0" borderId="0" xfId="0" applyFont="1"/>
    <xf numFmtId="0" fontId="23" fillId="0" borderId="0" xfId="0" applyFont="1" applyFill="1"/>
    <xf numFmtId="0" fontId="4" fillId="0" borderId="0" xfId="0" applyFont="1" applyFill="1" applyAlignment="1">
      <alignment horizontal="right"/>
    </xf>
    <xf numFmtId="3" fontId="0" fillId="0" borderId="0" xfId="1" applyNumberFormat="1" applyFont="1" applyFill="1"/>
    <xf numFmtId="0" fontId="1" fillId="0" borderId="0" xfId="5"/>
    <xf numFmtId="0" fontId="16" fillId="0" borderId="0" xfId="5" applyFont="1"/>
    <xf numFmtId="0" fontId="1" fillId="0" borderId="0" xfId="5" applyFill="1"/>
    <xf numFmtId="0" fontId="12" fillId="0" borderId="0" xfId="5" applyFont="1" applyFill="1"/>
    <xf numFmtId="0" fontId="16" fillId="0" borderId="0" xfId="5" applyFont="1" applyFill="1"/>
    <xf numFmtId="0" fontId="1" fillId="0" borderId="0" xfId="5" applyFont="1" applyFill="1"/>
    <xf numFmtId="0" fontId="13" fillId="0" borderId="0" xfId="5" applyFont="1" applyFill="1"/>
    <xf numFmtId="0" fontId="13" fillId="0" borderId="0" xfId="5" applyFont="1"/>
    <xf numFmtId="0" fontId="6" fillId="0" borderId="0" xfId="5" applyFont="1"/>
    <xf numFmtId="0" fontId="1" fillId="0" borderId="0" xfId="5" applyFont="1"/>
    <xf numFmtId="3" fontId="1" fillId="0" borderId="0" xfId="5" applyNumberFormat="1"/>
    <xf numFmtId="0" fontId="4" fillId="0" borderId="0" xfId="5" applyFont="1"/>
    <xf numFmtId="3" fontId="1" fillId="0" borderId="0" xfId="5" applyNumberFormat="1" applyFill="1"/>
    <xf numFmtId="0" fontId="4" fillId="0" borderId="0" xfId="5" applyFont="1" applyAlignment="1">
      <alignment horizontal="right"/>
    </xf>
    <xf numFmtId="0" fontId="6" fillId="0" borderId="0" xfId="5" applyFont="1" applyFill="1"/>
    <xf numFmtId="10" fontId="1" fillId="0" borderId="0" xfId="5" applyNumberFormat="1" applyFont="1" applyFill="1"/>
    <xf numFmtId="0" fontId="13" fillId="0" borderId="0" xfId="5" applyFont="1" applyFill="1" applyAlignment="1">
      <alignment horizontal="left" vertical="top" wrapText="1"/>
    </xf>
    <xf numFmtId="166" fontId="12" fillId="0" borderId="0" xfId="5" applyNumberFormat="1" applyFont="1" applyFill="1"/>
    <xf numFmtId="0" fontId="12" fillId="0" borderId="0" xfId="5" applyFont="1" applyFill="1" applyAlignment="1">
      <alignment horizontal="right"/>
    </xf>
    <xf numFmtId="0" fontId="1" fillId="0" borderId="0" xfId="0" applyFont="1" applyAlignment="1">
      <alignment horizontal="left" vertical="top" wrapText="1"/>
    </xf>
    <xf numFmtId="0" fontId="25" fillId="0" borderId="0" xfId="5" applyFont="1"/>
    <xf numFmtId="0" fontId="25" fillId="0" borderId="0" xfId="5" applyFont="1" applyFill="1" applyAlignment="1">
      <alignment horizontal="left" vertical="top" wrapText="1"/>
    </xf>
    <xf numFmtId="0" fontId="23" fillId="0" borderId="0" xfId="5" applyFont="1" applyFill="1"/>
    <xf numFmtId="166" fontId="23" fillId="0" borderId="0" xfId="5" applyNumberFormat="1" applyFont="1" applyFill="1"/>
    <xf numFmtId="0" fontId="1" fillId="0" borderId="0" xfId="5" applyAlignment="1">
      <alignment vertical="center"/>
    </xf>
    <xf numFmtId="0" fontId="1" fillId="0" borderId="0" xfId="5" applyFont="1" applyAlignment="1">
      <alignment vertical="center"/>
    </xf>
    <xf numFmtId="0" fontId="6" fillId="0" borderId="1" xfId="5" applyFont="1" applyFill="1" applyBorder="1"/>
    <xf numFmtId="0" fontId="1" fillId="0" borderId="2" xfId="5" applyFont="1" applyFill="1" applyBorder="1"/>
    <xf numFmtId="0" fontId="16" fillId="0" borderId="2" xfId="5" applyFont="1" applyFill="1" applyBorder="1"/>
    <xf numFmtId="0" fontId="16" fillId="0" borderId="3" xfId="5" applyFont="1" applyFill="1" applyBorder="1"/>
    <xf numFmtId="0" fontId="6" fillId="0" borderId="4" xfId="5" applyFont="1" applyFill="1" applyBorder="1"/>
    <xf numFmtId="0" fontId="1" fillId="0" borderId="0" xfId="5" applyFont="1" applyFill="1" applyBorder="1"/>
    <xf numFmtId="0" fontId="1" fillId="0" borderId="0" xfId="5" applyFont="1" applyFill="1" applyBorder="1" applyAlignment="1">
      <alignment horizontal="center"/>
    </xf>
    <xf numFmtId="0" fontId="26" fillId="0" borderId="0" xfId="5" applyFont="1" applyFill="1" applyBorder="1" applyAlignment="1">
      <alignment horizontal="center"/>
    </xf>
    <xf numFmtId="0" fontId="16" fillId="0" borderId="0" xfId="5" applyFont="1" applyFill="1" applyBorder="1"/>
    <xf numFmtId="0" fontId="16" fillId="0" borderId="5" xfId="5" applyFont="1" applyFill="1" applyBorder="1"/>
    <xf numFmtId="0" fontId="1" fillId="0" borderId="4" xfId="5" applyFont="1" applyFill="1" applyBorder="1"/>
    <xf numFmtId="10" fontId="1" fillId="0" borderId="0" xfId="5" applyNumberFormat="1" applyFont="1" applyFill="1" applyBorder="1"/>
    <xf numFmtId="0" fontId="26" fillId="0" borderId="0" xfId="5" applyFont="1" applyFill="1" applyBorder="1" applyAlignment="1">
      <alignment horizontal="right"/>
    </xf>
    <xf numFmtId="0" fontId="23" fillId="0" borderId="0" xfId="5" applyFont="1" applyFill="1" applyBorder="1"/>
    <xf numFmtId="0" fontId="16" fillId="0" borderId="4" xfId="5" applyFont="1" applyFill="1" applyBorder="1"/>
    <xf numFmtId="0" fontId="1" fillId="0" borderId="4" xfId="0" applyFont="1" applyFill="1" applyBorder="1"/>
    <xf numFmtId="0" fontId="25" fillId="0" borderId="6" xfId="5" applyFont="1" applyFill="1" applyBorder="1"/>
    <xf numFmtId="0" fontId="16" fillId="0" borderId="7" xfId="5" applyFont="1" applyFill="1" applyBorder="1"/>
    <xf numFmtId="0" fontId="16" fillId="0" borderId="8" xfId="5" applyFont="1" applyFill="1" applyBorder="1"/>
    <xf numFmtId="0" fontId="13" fillId="0" borderId="4" xfId="5" applyFont="1" applyFill="1" applyBorder="1"/>
    <xf numFmtId="0" fontId="16" fillId="0" borderId="9" xfId="5" applyFont="1" applyFill="1" applyBorder="1"/>
    <xf numFmtId="0" fontId="26" fillId="0" borderId="10" xfId="5" applyFont="1" applyFill="1" applyBorder="1" applyAlignment="1">
      <alignment horizontal="center"/>
    </xf>
    <xf numFmtId="0" fontId="26" fillId="0" borderId="10" xfId="5" applyFont="1" applyFill="1" applyBorder="1" applyAlignment="1">
      <alignment horizontal="right"/>
    </xf>
    <xf numFmtId="0" fontId="16" fillId="0" borderId="10" xfId="5" applyFont="1" applyFill="1" applyBorder="1"/>
    <xf numFmtId="0" fontId="16" fillId="0" borderId="11" xfId="5" applyFont="1" applyFill="1" applyBorder="1"/>
    <xf numFmtId="166" fontId="26" fillId="0" borderId="0" xfId="6" applyNumberFormat="1" applyFont="1" applyFill="1" applyBorder="1" applyAlignment="1">
      <alignment horizontal="right"/>
    </xf>
    <xf numFmtId="10" fontId="4" fillId="0" borderId="0" xfId="5" applyNumberFormat="1" applyFont="1" applyFill="1" applyBorder="1"/>
    <xf numFmtId="0" fontId="4" fillId="0" borderId="0" xfId="5" applyFont="1" applyFill="1" applyBorder="1"/>
    <xf numFmtId="0" fontId="6" fillId="0" borderId="12" xfId="5" applyFont="1" applyFill="1" applyBorder="1"/>
    <xf numFmtId="0" fontId="1" fillId="0" borderId="13" xfId="5" applyFont="1" applyFill="1" applyBorder="1"/>
    <xf numFmtId="0" fontId="16" fillId="0" borderId="13" xfId="5" applyFont="1" applyFill="1" applyBorder="1"/>
    <xf numFmtId="0" fontId="16" fillId="0" borderId="14" xfId="5" applyFont="1" applyFill="1" applyBorder="1"/>
    <xf numFmtId="0" fontId="6" fillId="0" borderId="15" xfId="5" applyFont="1" applyFill="1" applyBorder="1"/>
    <xf numFmtId="0" fontId="1" fillId="0" borderId="0" xfId="5" applyFill="1" applyBorder="1"/>
    <xf numFmtId="0" fontId="26" fillId="0" borderId="10" xfId="5" applyFont="1" applyFill="1" applyBorder="1" applyAlignment="1">
      <alignment horizontal="left"/>
    </xf>
    <xf numFmtId="0" fontId="1" fillId="0" borderId="15" xfId="5" applyFont="1" applyFill="1" applyBorder="1"/>
    <xf numFmtId="0" fontId="12" fillId="0" borderId="0" xfId="5" applyFont="1" applyFill="1" applyBorder="1"/>
    <xf numFmtId="166" fontId="26" fillId="0" borderId="10" xfId="6" applyNumberFormat="1" applyFont="1" applyFill="1" applyBorder="1" applyAlignment="1">
      <alignment horizontal="left"/>
    </xf>
    <xf numFmtId="0" fontId="13" fillId="0" borderId="15" xfId="5" applyFont="1" applyFill="1" applyBorder="1"/>
    <xf numFmtId="0" fontId="16" fillId="0" borderId="15" xfId="5" applyFont="1" applyFill="1" applyBorder="1"/>
    <xf numFmtId="0" fontId="1" fillId="0" borderId="15" xfId="0" applyFont="1" applyFill="1" applyBorder="1"/>
    <xf numFmtId="0" fontId="25" fillId="0" borderId="16" xfId="5" applyFont="1" applyFill="1" applyBorder="1"/>
    <xf numFmtId="0" fontId="16" fillId="0" borderId="17" xfId="5" applyFont="1" applyFill="1" applyBorder="1"/>
    <xf numFmtId="0" fontId="16" fillId="0" borderId="18" xfId="5" applyFont="1" applyFill="1" applyBorder="1"/>
    <xf numFmtId="0" fontId="1" fillId="0" borderId="0" xfId="0" applyFont="1" applyAlignment="1">
      <alignment horizontal="left" vertical="top" wrapText="1"/>
    </xf>
    <xf numFmtId="0" fontId="23" fillId="0" borderId="10" xfId="5" applyFont="1" applyFill="1" applyBorder="1"/>
    <xf numFmtId="0" fontId="1" fillId="0" borderId="0" xfId="0" applyFont="1" applyAlignment="1">
      <alignment horizontal="left" vertical="top" wrapText="1"/>
    </xf>
    <xf numFmtId="0" fontId="1" fillId="0" borderId="0" xfId="0" applyFont="1" applyAlignment="1">
      <alignment horizontal="left" vertical="top" wrapText="1"/>
    </xf>
    <xf numFmtId="0" fontId="17" fillId="0" borderId="0" xfId="5" applyFont="1"/>
    <xf numFmtId="0" fontId="1" fillId="3" borderId="0" xfId="5" applyFont="1" applyFill="1"/>
    <xf numFmtId="0" fontId="1" fillId="3" borderId="0" xfId="5" applyFont="1" applyFill="1" applyAlignment="1">
      <alignment vertical="center"/>
    </xf>
    <xf numFmtId="0" fontId="26" fillId="0" borderId="5" xfId="5" applyFont="1" applyFill="1" applyBorder="1" applyAlignment="1">
      <alignment horizontal="left"/>
    </xf>
    <xf numFmtId="166" fontId="26" fillId="0" borderId="5" xfId="6" applyNumberFormat="1" applyFont="1" applyFill="1" applyBorder="1" applyAlignment="1">
      <alignment horizontal="left"/>
    </xf>
    <xf numFmtId="0" fontId="23" fillId="0" borderId="5" xfId="5" applyFont="1" applyFill="1" applyBorder="1"/>
    <xf numFmtId="0" fontId="1" fillId="0" borderId="0" xfId="0" applyFont="1" applyAlignment="1">
      <alignment horizontal="left" vertical="top" wrapText="1"/>
    </xf>
    <xf numFmtId="0" fontId="29" fillId="0" borderId="0" xfId="5" applyFont="1"/>
    <xf numFmtId="0" fontId="30" fillId="0" borderId="0" xfId="5" applyFont="1"/>
    <xf numFmtId="0" fontId="1" fillId="0" borderId="0" xfId="0" applyFont="1" applyAlignment="1">
      <alignment horizontal="left" vertical="top" wrapText="1"/>
    </xf>
    <xf numFmtId="0" fontId="1" fillId="3" borderId="0" xfId="0" applyFont="1" applyFill="1" applyAlignment="1">
      <alignment horizontal="left" vertical="top" wrapText="1"/>
    </xf>
    <xf numFmtId="0" fontId="1" fillId="0" borderId="3" xfId="5" applyFont="1" applyFill="1" applyBorder="1"/>
    <xf numFmtId="0" fontId="1" fillId="0" borderId="5" xfId="5" applyFont="1" applyFill="1" applyBorder="1"/>
    <xf numFmtId="0" fontId="1" fillId="0" borderId="8" xfId="5" applyFont="1" applyFill="1" applyBorder="1"/>
    <xf numFmtId="0" fontId="1" fillId="0" borderId="0" xfId="0" applyFont="1" applyAlignment="1" applyProtection="1">
      <alignment horizontal="left" vertical="top"/>
      <protection locked="0"/>
    </xf>
    <xf numFmtId="0" fontId="1" fillId="3" borderId="0" xfId="0" applyFont="1" applyFill="1" applyAlignment="1" applyProtection="1">
      <alignment horizontal="left" vertical="top"/>
      <protection locked="0"/>
    </xf>
    <xf numFmtId="0" fontId="1" fillId="3" borderId="0" xfId="0" applyFont="1" applyFill="1" applyAlignment="1">
      <alignment horizontal="left" vertical="top"/>
    </xf>
    <xf numFmtId="0" fontId="1" fillId="0" borderId="0" xfId="0" applyFont="1" applyAlignment="1">
      <alignment horizontal="left" vertical="top" wrapText="1"/>
    </xf>
    <xf numFmtId="0" fontId="31" fillId="0" borderId="5" xfId="5" applyFont="1" applyFill="1" applyBorder="1" applyAlignment="1">
      <alignment horizontal="left"/>
    </xf>
    <xf numFmtId="166" fontId="31" fillId="0" borderId="5" xfId="6" applyNumberFormat="1" applyFont="1" applyFill="1" applyBorder="1" applyAlignment="1">
      <alignment horizontal="left"/>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3" borderId="0" xfId="0" applyFont="1" applyFill="1" applyAlignment="1">
      <alignment horizontal="left" vertical="top" wrapText="1"/>
    </xf>
    <xf numFmtId="0" fontId="1" fillId="0" borderId="8" xfId="0" applyFont="1" applyFill="1" applyBorder="1" applyAlignment="1">
      <alignment horizontal="left" vertical="top" wrapText="1"/>
    </xf>
    <xf numFmtId="0" fontId="1" fillId="0" borderId="0" xfId="0" applyFont="1" applyAlignment="1">
      <alignment horizontal="left" vertical="top" wrapText="1"/>
    </xf>
    <xf numFmtId="0" fontId="1" fillId="0" borderId="1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0" fontId="12" fillId="3" borderId="0" xfId="2" applyFont="1" applyFill="1" applyAlignment="1">
      <alignment horizontal="center"/>
    </xf>
    <xf numFmtId="0" fontId="12" fillId="3" borderId="0" xfId="0" applyFont="1" applyFill="1" applyAlignment="1">
      <alignment horizontal="center"/>
    </xf>
    <xf numFmtId="0" fontId="12" fillId="2" borderId="0" xfId="0" applyFont="1" applyFill="1" applyAlignment="1">
      <alignment horizontal="center"/>
    </xf>
  </cellXfs>
  <cellStyles count="7">
    <cellStyle name="Comma" xfId="1" builtinId="3"/>
    <cellStyle name="Comma 2" xfId="3"/>
    <cellStyle name="Normal" xfId="0" builtinId="0"/>
    <cellStyle name="Normal 2" xfId="2"/>
    <cellStyle name="Normal 3" xfId="5"/>
    <cellStyle name="Percent" xfId="6" builtinId="5"/>
    <cellStyle name="Tusenskille_Tables quarterly report 2008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R34"/>
  <sheetViews>
    <sheetView showGridLines="0" tabSelected="1" zoomScale="110" zoomScaleNormal="110" workbookViewId="0">
      <selection activeCell="E33" sqref="E33"/>
    </sheetView>
  </sheetViews>
  <sheetFormatPr defaultColWidth="9.140625" defaultRowHeight="12.75" x14ac:dyDescent="0.2"/>
  <cols>
    <col min="1" max="1" width="3.42578125" style="85" customWidth="1"/>
    <col min="2" max="2" width="20.5703125" style="85" customWidth="1"/>
    <col min="3" max="3" width="9.140625" style="85"/>
    <col min="4" max="4" width="11.7109375" style="85" customWidth="1"/>
    <col min="5" max="5" width="14.7109375" style="85" customWidth="1"/>
    <col min="6" max="6" width="19.140625" style="85" customWidth="1"/>
    <col min="7" max="7" width="19.5703125" style="85" customWidth="1"/>
    <col min="8" max="8" width="14" style="85" customWidth="1"/>
    <col min="9" max="9" width="14.140625" style="85" customWidth="1"/>
    <col min="10" max="10" width="18.28515625" style="85" customWidth="1"/>
    <col min="11" max="12" width="9.140625" style="85"/>
    <col min="13" max="13" width="27.85546875" style="85" customWidth="1"/>
    <col min="14" max="15" width="9.140625" style="85"/>
    <col min="16" max="16" width="6.42578125" style="85" customWidth="1"/>
    <col min="17" max="16384" width="9.140625" style="85"/>
  </cols>
  <sheetData>
    <row r="2" spans="2:18" ht="15.75" x14ac:dyDescent="0.25">
      <c r="B2" s="93" t="s">
        <v>375</v>
      </c>
    </row>
    <row r="3" spans="2:18" x14ac:dyDescent="0.2">
      <c r="B3" s="85" t="s">
        <v>4</v>
      </c>
      <c r="E3" s="98" t="s">
        <v>376</v>
      </c>
      <c r="F3" s="98" t="s">
        <v>322</v>
      </c>
      <c r="I3" s="98"/>
      <c r="P3" s="94"/>
      <c r="R3" s="94"/>
    </row>
    <row r="4" spans="2:18" x14ac:dyDescent="0.2">
      <c r="N4" s="86"/>
    </row>
    <row r="5" spans="2:18" x14ac:dyDescent="0.2">
      <c r="B5" s="96" t="s">
        <v>143</v>
      </c>
      <c r="E5" s="37">
        <f>E7-E6</f>
        <v>12874</v>
      </c>
      <c r="F5" s="37">
        <f>F7-F6</f>
        <v>12307</v>
      </c>
      <c r="I5" s="95"/>
      <c r="N5" s="86"/>
    </row>
    <row r="6" spans="2:18" x14ac:dyDescent="0.2">
      <c r="B6" s="94" t="s">
        <v>209</v>
      </c>
      <c r="E6" s="38">
        <f>79+153-130</f>
        <v>102</v>
      </c>
      <c r="F6" s="38">
        <v>0</v>
      </c>
      <c r="I6" s="97"/>
      <c r="N6" s="86"/>
    </row>
    <row r="7" spans="2:18" x14ac:dyDescent="0.2">
      <c r="B7" s="96" t="s">
        <v>145</v>
      </c>
      <c r="E7" s="79">
        <v>12976</v>
      </c>
      <c r="F7" s="79">
        <v>12307</v>
      </c>
      <c r="I7" s="95"/>
    </row>
    <row r="8" spans="2:18" x14ac:dyDescent="0.2">
      <c r="B8" s="85" t="s">
        <v>22</v>
      </c>
      <c r="E8" s="37">
        <v>191</v>
      </c>
      <c r="F8" s="79">
        <v>-107</v>
      </c>
      <c r="I8" s="95"/>
    </row>
    <row r="9" spans="2:18" x14ac:dyDescent="0.2">
      <c r="B9" s="96" t="s">
        <v>2</v>
      </c>
      <c r="E9" s="37">
        <v>13168</v>
      </c>
      <c r="F9" s="37">
        <v>12200</v>
      </c>
      <c r="I9" s="95"/>
    </row>
    <row r="10" spans="2:18" x14ac:dyDescent="0.2">
      <c r="B10" s="85" t="s">
        <v>15</v>
      </c>
      <c r="E10" s="37">
        <v>-5223</v>
      </c>
      <c r="F10" s="79">
        <v>-5010</v>
      </c>
      <c r="I10" s="95"/>
      <c r="N10" s="86"/>
      <c r="P10" s="94"/>
    </row>
    <row r="11" spans="2:18" x14ac:dyDescent="0.2">
      <c r="B11" s="94" t="s">
        <v>281</v>
      </c>
      <c r="E11" s="38">
        <v>-47</v>
      </c>
      <c r="F11" s="38">
        <v>0</v>
      </c>
      <c r="I11" s="95"/>
      <c r="N11" s="86"/>
    </row>
    <row r="12" spans="2:18" x14ac:dyDescent="0.2">
      <c r="B12" s="96" t="s">
        <v>345</v>
      </c>
      <c r="E12" s="37">
        <f>E9+E10+E11</f>
        <v>7898</v>
      </c>
      <c r="F12" s="37">
        <f>F9+F10+F11</f>
        <v>7190</v>
      </c>
      <c r="I12" s="95"/>
    </row>
    <row r="13" spans="2:18" x14ac:dyDescent="0.2">
      <c r="B13" s="85" t="s">
        <v>26</v>
      </c>
      <c r="E13" s="37">
        <f>E8</f>
        <v>191</v>
      </c>
      <c r="F13" s="37">
        <f>F8</f>
        <v>-107</v>
      </c>
      <c r="I13" s="95"/>
    </row>
    <row r="14" spans="2:18" x14ac:dyDescent="0.2">
      <c r="B14" s="96" t="s">
        <v>20</v>
      </c>
      <c r="E14" s="37">
        <f>E11</f>
        <v>-47</v>
      </c>
      <c r="F14" s="37">
        <f>F11</f>
        <v>0</v>
      </c>
      <c r="I14" s="95"/>
      <c r="N14" s="86"/>
    </row>
    <row r="15" spans="2:18" x14ac:dyDescent="0.2">
      <c r="B15" s="96" t="s">
        <v>331</v>
      </c>
      <c r="E15" s="37">
        <f>E12-E13-E14</f>
        <v>7754</v>
      </c>
      <c r="F15" s="37">
        <f>F12-F13-F14</f>
        <v>7297</v>
      </c>
      <c r="I15" s="95"/>
    </row>
    <row r="16" spans="2:18" x14ac:dyDescent="0.2">
      <c r="B16" s="94" t="s">
        <v>210</v>
      </c>
      <c r="E16" s="37">
        <f>E6</f>
        <v>102</v>
      </c>
      <c r="F16" s="37">
        <f>F6</f>
        <v>0</v>
      </c>
      <c r="I16" s="95"/>
    </row>
    <row r="17" spans="1:18" x14ac:dyDescent="0.2">
      <c r="B17" s="96" t="s">
        <v>332</v>
      </c>
      <c r="E17" s="37">
        <f>E15-E16</f>
        <v>7652</v>
      </c>
      <c r="F17" s="37">
        <f>F15-F16</f>
        <v>7297</v>
      </c>
      <c r="I17" s="95"/>
    </row>
    <row r="19" spans="1:18" s="166" customFormat="1" ht="15" x14ac:dyDescent="0.2">
      <c r="A19" s="94"/>
      <c r="B19" s="94" t="s">
        <v>279</v>
      </c>
      <c r="C19" s="94"/>
      <c r="D19" s="94"/>
      <c r="E19" s="94"/>
      <c r="F19" s="94"/>
      <c r="G19" s="94"/>
      <c r="H19" s="94"/>
      <c r="I19" s="94"/>
      <c r="J19" s="94"/>
      <c r="K19" s="94"/>
    </row>
    <row r="20" spans="1:18" s="94" customFormat="1" x14ac:dyDescent="0.2">
      <c r="B20" s="176"/>
      <c r="C20" s="176"/>
      <c r="D20" s="176"/>
      <c r="E20" s="176"/>
      <c r="F20" s="176"/>
      <c r="G20" s="176"/>
      <c r="H20" s="176"/>
      <c r="I20" s="176"/>
      <c r="J20" s="176"/>
      <c r="K20" s="176"/>
      <c r="L20" s="176"/>
      <c r="M20" s="176"/>
      <c r="N20" s="110"/>
      <c r="O20" s="110"/>
      <c r="P20" s="110"/>
      <c r="Q20" s="110"/>
      <c r="R20" s="110"/>
    </row>
    <row r="21" spans="1:18" ht="13.5" thickBot="1" x14ac:dyDescent="0.25">
      <c r="A21" s="87"/>
      <c r="B21" s="106"/>
      <c r="C21" s="106"/>
      <c r="D21" s="106"/>
      <c r="E21" s="106"/>
      <c r="F21" s="106"/>
      <c r="G21" s="106"/>
      <c r="H21" s="106"/>
      <c r="I21" s="106"/>
      <c r="J21" s="106"/>
      <c r="K21" s="106"/>
      <c r="L21" s="106"/>
      <c r="M21" s="106"/>
    </row>
    <row r="22" spans="1:18" ht="15.75" x14ac:dyDescent="0.25">
      <c r="A22" s="87"/>
      <c r="B22" s="111" t="s">
        <v>380</v>
      </c>
      <c r="C22" s="112"/>
      <c r="D22" s="112"/>
      <c r="E22" s="112"/>
      <c r="F22" s="112"/>
      <c r="G22" s="112"/>
      <c r="H22" s="112"/>
      <c r="I22" s="170"/>
      <c r="J22" s="89"/>
      <c r="K22" s="89"/>
      <c r="L22" s="89"/>
      <c r="M22" s="86"/>
    </row>
    <row r="23" spans="1:18" s="87" customFormat="1" ht="15.75" x14ac:dyDescent="0.25">
      <c r="B23" s="115"/>
      <c r="C23" s="116"/>
      <c r="D23" s="116"/>
      <c r="E23" s="116"/>
      <c r="F23" s="117"/>
      <c r="G23" s="116"/>
      <c r="H23" s="147" t="s">
        <v>283</v>
      </c>
      <c r="I23" s="177" t="s">
        <v>367</v>
      </c>
      <c r="K23" s="89"/>
      <c r="L23" s="89"/>
      <c r="M23" s="89"/>
    </row>
    <row r="24" spans="1:18" s="87" customFormat="1" x14ac:dyDescent="0.2">
      <c r="B24" s="121"/>
      <c r="C24" s="116" t="s">
        <v>73</v>
      </c>
      <c r="D24" s="116"/>
      <c r="E24" s="116"/>
      <c r="F24" s="137" t="s">
        <v>313</v>
      </c>
      <c r="G24" s="147" t="s">
        <v>364</v>
      </c>
      <c r="H24" s="147" t="s">
        <v>336</v>
      </c>
      <c r="I24" s="178" t="s">
        <v>351</v>
      </c>
      <c r="J24" s="108"/>
      <c r="K24" s="89"/>
      <c r="L24" s="89"/>
      <c r="M24" s="89"/>
    </row>
    <row r="25" spans="1:18" s="87" customFormat="1" x14ac:dyDescent="0.2">
      <c r="B25" s="121"/>
      <c r="C25" s="116" t="s">
        <v>151</v>
      </c>
      <c r="D25" s="116"/>
      <c r="E25" s="116"/>
      <c r="F25" s="138" t="s">
        <v>377</v>
      </c>
      <c r="G25" s="147" t="s">
        <v>364</v>
      </c>
      <c r="H25" s="147" t="s">
        <v>378</v>
      </c>
      <c r="I25" s="178" t="s">
        <v>352</v>
      </c>
      <c r="J25" s="108"/>
      <c r="K25" s="89"/>
      <c r="L25" s="89"/>
      <c r="M25" s="89"/>
    </row>
    <row r="26" spans="1:18" s="87" customFormat="1" x14ac:dyDescent="0.2">
      <c r="B26" s="121"/>
      <c r="C26" s="116" t="s">
        <v>152</v>
      </c>
      <c r="D26" s="116"/>
      <c r="E26" s="116"/>
      <c r="F26" s="138" t="s">
        <v>340</v>
      </c>
      <c r="G26" s="147" t="s">
        <v>364</v>
      </c>
      <c r="H26" s="147" t="s">
        <v>379</v>
      </c>
      <c r="I26" s="178" t="s">
        <v>353</v>
      </c>
      <c r="J26" s="108"/>
      <c r="K26" s="89"/>
      <c r="L26" s="89"/>
      <c r="M26" s="89"/>
    </row>
    <row r="27" spans="1:18" s="87" customFormat="1" ht="18.75" customHeight="1" x14ac:dyDescent="0.2">
      <c r="B27" s="130" t="s">
        <v>301</v>
      </c>
      <c r="C27" s="116"/>
      <c r="D27" s="116"/>
      <c r="E27" s="116"/>
      <c r="F27" s="116"/>
      <c r="G27" s="147"/>
      <c r="H27" s="147"/>
      <c r="I27" s="171"/>
      <c r="J27" s="107"/>
      <c r="K27" s="89"/>
      <c r="L27" s="89"/>
      <c r="M27" s="89"/>
    </row>
    <row r="28" spans="1:18" s="87" customFormat="1" ht="13.5" customHeight="1" thickBot="1" x14ac:dyDescent="0.25">
      <c r="B28" s="179"/>
      <c r="C28" s="180"/>
      <c r="D28" s="180"/>
      <c r="E28" s="180"/>
      <c r="F28" s="180"/>
      <c r="G28" s="180"/>
      <c r="H28" s="180"/>
      <c r="I28" s="172"/>
      <c r="J28" s="89"/>
      <c r="K28" s="89"/>
      <c r="L28" s="89"/>
      <c r="M28" s="89"/>
    </row>
    <row r="29" spans="1:18" x14ac:dyDescent="0.2">
      <c r="A29" s="87"/>
      <c r="B29" s="89"/>
      <c r="C29" s="89"/>
      <c r="D29" s="89"/>
      <c r="E29" s="89"/>
      <c r="F29" s="89"/>
      <c r="G29" s="89"/>
      <c r="H29" s="89"/>
      <c r="I29" s="89"/>
      <c r="J29" s="89"/>
      <c r="K29" s="89"/>
      <c r="L29" s="89"/>
      <c r="M29" s="86"/>
    </row>
    <row r="30" spans="1:18" x14ac:dyDescent="0.2">
      <c r="A30" s="87"/>
      <c r="B30" s="89"/>
      <c r="C30" s="89"/>
      <c r="D30" s="89"/>
      <c r="E30" s="89"/>
      <c r="F30" s="89"/>
      <c r="G30" s="89"/>
      <c r="H30" s="89"/>
      <c r="I30" s="89"/>
      <c r="J30" s="89"/>
      <c r="K30" s="89"/>
      <c r="L30" s="89"/>
      <c r="M30" s="86"/>
    </row>
    <row r="31" spans="1:18" x14ac:dyDescent="0.2">
      <c r="A31" s="87"/>
      <c r="B31" s="89"/>
      <c r="C31" s="89"/>
      <c r="D31" s="89"/>
      <c r="E31" s="89"/>
      <c r="F31" s="89"/>
      <c r="G31" s="89"/>
      <c r="H31" s="89"/>
      <c r="I31" s="89"/>
      <c r="J31" s="89"/>
      <c r="K31" s="89"/>
      <c r="L31" s="89"/>
      <c r="M31" s="86"/>
    </row>
    <row r="32" spans="1:18" x14ac:dyDescent="0.2">
      <c r="A32" s="87"/>
      <c r="B32" s="89"/>
      <c r="C32" s="87"/>
      <c r="D32" s="87"/>
      <c r="E32" s="87"/>
      <c r="F32" s="87"/>
      <c r="G32" s="87"/>
      <c r="H32" s="87"/>
      <c r="I32" s="87"/>
      <c r="J32" s="87"/>
      <c r="K32" s="87"/>
      <c r="L32" s="87"/>
    </row>
    <row r="33" spans="1:12" x14ac:dyDescent="0.2">
      <c r="A33" s="87"/>
      <c r="B33" s="87"/>
      <c r="C33" s="87"/>
      <c r="D33" s="87"/>
      <c r="E33" s="87"/>
      <c r="F33" s="87"/>
      <c r="G33" s="87"/>
      <c r="H33" s="87"/>
      <c r="I33" s="87"/>
      <c r="J33" s="87"/>
      <c r="K33" s="87"/>
      <c r="L33" s="87"/>
    </row>
    <row r="34" spans="1:12" x14ac:dyDescent="0.2">
      <c r="A34" s="87"/>
      <c r="B34" s="87"/>
      <c r="C34" s="87"/>
      <c r="D34" s="87"/>
      <c r="E34" s="87"/>
      <c r="F34" s="87"/>
      <c r="G34" s="87"/>
      <c r="H34" s="87"/>
      <c r="I34" s="87"/>
      <c r="J34" s="87"/>
      <c r="K34" s="87"/>
      <c r="L34" s="87"/>
    </row>
  </sheetData>
  <mergeCells count="1">
    <mergeCell ref="B28:H28"/>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39"/>
  <sheetViews>
    <sheetView showGridLines="0" zoomScaleNormal="100" workbookViewId="0">
      <selection activeCell="K20" sqref="K20"/>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4" t="s">
        <v>266</v>
      </c>
      <c r="G2" s="18"/>
      <c r="H2" s="76"/>
    </row>
    <row r="3" spans="2:18" x14ac:dyDescent="0.2">
      <c r="B3" t="s">
        <v>4</v>
      </c>
      <c r="G3" s="83" t="s">
        <v>272</v>
      </c>
      <c r="H3" s="1" t="s">
        <v>228</v>
      </c>
      <c r="I3" s="1"/>
      <c r="P3" s="10"/>
      <c r="R3" s="10"/>
    </row>
    <row r="4" spans="2:18" x14ac:dyDescent="0.2">
      <c r="G4" s="18"/>
      <c r="N4" s="36"/>
    </row>
    <row r="5" spans="2:18" x14ac:dyDescent="0.2">
      <c r="B5" s="2" t="s">
        <v>143</v>
      </c>
      <c r="G5" s="38">
        <f>G7-G6</f>
        <v>10478</v>
      </c>
      <c r="H5" s="37">
        <f>H7-H6</f>
        <v>9525</v>
      </c>
      <c r="I5" s="6"/>
    </row>
    <row r="6" spans="2:18" x14ac:dyDescent="0.2">
      <c r="B6" s="76" t="s">
        <v>209</v>
      </c>
      <c r="G6" s="38">
        <f>93</f>
        <v>93</v>
      </c>
      <c r="H6" s="38">
        <v>-27</v>
      </c>
      <c r="I6" s="7"/>
    </row>
    <row r="7" spans="2:18" x14ac:dyDescent="0.2">
      <c r="B7" s="2" t="s">
        <v>145</v>
      </c>
      <c r="G7" s="84">
        <v>10571</v>
      </c>
      <c r="H7" s="37">
        <v>9498</v>
      </c>
      <c r="I7" s="6"/>
    </row>
    <row r="8" spans="2:18" x14ac:dyDescent="0.2">
      <c r="B8" t="s">
        <v>22</v>
      </c>
      <c r="G8" s="38">
        <f>-147</f>
        <v>-147</v>
      </c>
      <c r="H8" s="37">
        <v>-182</v>
      </c>
      <c r="I8" s="6"/>
    </row>
    <row r="9" spans="2:18" x14ac:dyDescent="0.2">
      <c r="B9" s="2" t="s">
        <v>2</v>
      </c>
      <c r="G9" s="38">
        <f>G7+G8</f>
        <v>10424</v>
      </c>
      <c r="H9" s="37">
        <f>H7+H8</f>
        <v>9316</v>
      </c>
      <c r="I9" s="6"/>
    </row>
    <row r="10" spans="2:18" x14ac:dyDescent="0.2">
      <c r="B10" t="s">
        <v>15</v>
      </c>
      <c r="G10" s="38">
        <v>-4158</v>
      </c>
      <c r="H10" s="37">
        <v>-3551</v>
      </c>
      <c r="I10" s="6"/>
      <c r="N10" s="36"/>
      <c r="P10" s="10"/>
    </row>
    <row r="11" spans="2:18" x14ac:dyDescent="0.2">
      <c r="B11" s="76" t="s">
        <v>213</v>
      </c>
      <c r="G11" s="38">
        <v>-7</v>
      </c>
      <c r="H11" s="37"/>
      <c r="I11" s="6"/>
      <c r="N11" s="36"/>
    </row>
    <row r="12" spans="2:18" x14ac:dyDescent="0.2">
      <c r="B12" s="2" t="s">
        <v>3</v>
      </c>
      <c r="G12" s="38">
        <f>G9+G10+G11</f>
        <v>6259</v>
      </c>
      <c r="H12" s="37">
        <f>H9+H10+H11</f>
        <v>5765</v>
      </c>
      <c r="I12" s="6"/>
    </row>
    <row r="13" spans="2:18" x14ac:dyDescent="0.2">
      <c r="B13" t="s">
        <v>26</v>
      </c>
      <c r="G13" s="38">
        <f>G8</f>
        <v>-147</v>
      </c>
      <c r="H13" s="37">
        <f>H8</f>
        <v>-182</v>
      </c>
      <c r="I13" s="6"/>
    </row>
    <row r="14" spans="2:18" x14ac:dyDescent="0.2">
      <c r="B14" s="2" t="s">
        <v>20</v>
      </c>
      <c r="G14" s="38">
        <f>G11</f>
        <v>-7</v>
      </c>
      <c r="H14" s="37">
        <f>H11</f>
        <v>0</v>
      </c>
      <c r="I14" s="6"/>
      <c r="N14" s="36"/>
    </row>
    <row r="15" spans="2:18" x14ac:dyDescent="0.2">
      <c r="B15" s="2" t="s">
        <v>21</v>
      </c>
      <c r="G15" s="38">
        <f>G12-G13-G14</f>
        <v>6413</v>
      </c>
      <c r="H15" s="37">
        <f>H12-H13-H14</f>
        <v>5947</v>
      </c>
      <c r="I15" s="6"/>
    </row>
    <row r="16" spans="2:18" x14ac:dyDescent="0.2">
      <c r="B16" s="76" t="s">
        <v>210</v>
      </c>
      <c r="G16" s="38">
        <f>G6</f>
        <v>93</v>
      </c>
      <c r="H16" s="37">
        <f>H6</f>
        <v>-27</v>
      </c>
      <c r="I16" s="6"/>
    </row>
    <row r="17" spans="1:16" x14ac:dyDescent="0.2">
      <c r="B17" s="2" t="s">
        <v>144</v>
      </c>
      <c r="G17" s="38">
        <f>G15-G16</f>
        <v>6320</v>
      </c>
      <c r="H17" s="37">
        <f>H15-H16</f>
        <v>5974</v>
      </c>
      <c r="I17" s="6"/>
    </row>
    <row r="19" spans="1:16" s="10" customFormat="1" x14ac:dyDescent="0.2">
      <c r="B19" s="76" t="s">
        <v>256</v>
      </c>
      <c r="C19" s="76"/>
      <c r="D19" s="76"/>
      <c r="E19" s="76"/>
      <c r="F19" s="76"/>
      <c r="G19" s="76"/>
      <c r="H19" s="76"/>
      <c r="I19" s="76"/>
      <c r="J19" s="76"/>
      <c r="K19" s="36"/>
      <c r="L19" s="36"/>
      <c r="M19" s="36"/>
      <c r="N19" s="36"/>
      <c r="O19" s="36"/>
      <c r="P19" s="36"/>
    </row>
    <row r="20" spans="1:16" x14ac:dyDescent="0.2">
      <c r="B20" s="76" t="s">
        <v>141</v>
      </c>
      <c r="C20" s="76"/>
      <c r="D20" s="76"/>
      <c r="E20" s="76"/>
      <c r="F20" s="76"/>
      <c r="G20" s="76"/>
      <c r="H20" s="76"/>
      <c r="I20" s="76"/>
      <c r="J20" s="76"/>
      <c r="K20" s="36"/>
      <c r="L20" s="36"/>
      <c r="M20" s="36"/>
      <c r="N20" s="36"/>
      <c r="O20" s="36"/>
      <c r="P20" s="36"/>
    </row>
    <row r="21" spans="1:16" x14ac:dyDescent="0.2">
      <c r="B21" s="40"/>
      <c r="C21" s="76"/>
      <c r="D21" s="76"/>
      <c r="E21" s="76"/>
      <c r="F21" s="76"/>
      <c r="G21" s="76"/>
      <c r="H21" s="76"/>
      <c r="I21" s="76"/>
      <c r="J21" s="76"/>
      <c r="K21" s="36"/>
      <c r="L21" s="36"/>
      <c r="M21" s="36"/>
      <c r="N21" s="36"/>
      <c r="O21" s="36"/>
      <c r="P21" s="36"/>
    </row>
    <row r="22" spans="1:16" ht="15.75" x14ac:dyDescent="0.25">
      <c r="B22" s="4" t="s">
        <v>129</v>
      </c>
      <c r="C22" s="76"/>
      <c r="D22" s="76"/>
      <c r="E22" s="36"/>
      <c r="F22" s="36"/>
      <c r="G22" s="36"/>
      <c r="H22" s="36"/>
      <c r="I22" s="36"/>
      <c r="J22" s="36"/>
      <c r="K22" s="36"/>
      <c r="L22" s="36"/>
      <c r="M22" s="36"/>
      <c r="N22" s="36"/>
      <c r="O22" s="36"/>
      <c r="P22" s="36"/>
    </row>
    <row r="23" spans="1:16" ht="15.75" x14ac:dyDescent="0.25">
      <c r="B23" s="81"/>
      <c r="C23" s="36"/>
      <c r="D23" s="36"/>
      <c r="E23" s="36"/>
      <c r="F23" s="36"/>
      <c r="G23" s="36"/>
      <c r="H23" s="36"/>
      <c r="I23" s="36"/>
      <c r="J23" s="36"/>
      <c r="K23" s="36"/>
      <c r="L23" s="36"/>
      <c r="M23" s="36"/>
      <c r="N23" s="36"/>
      <c r="O23" s="36"/>
      <c r="P23" s="36"/>
    </row>
    <row r="24" spans="1:16" s="77" customFormat="1" x14ac:dyDescent="0.2">
      <c r="B24" s="80" t="s">
        <v>270</v>
      </c>
    </row>
    <row r="25" spans="1:16" x14ac:dyDescent="0.2">
      <c r="A25" s="18"/>
      <c r="B25" s="46"/>
      <c r="C25" s="18"/>
      <c r="D25" s="18"/>
      <c r="E25" s="18"/>
      <c r="F25" s="18"/>
      <c r="G25" s="18"/>
      <c r="H25" s="18"/>
      <c r="I25" s="18"/>
      <c r="J25" s="18"/>
    </row>
    <row r="26" spans="1:16" s="18" customFormat="1" ht="15.75" x14ac:dyDescent="0.25">
      <c r="B26" s="17" t="s">
        <v>249</v>
      </c>
      <c r="D26" s="47"/>
      <c r="E26" s="13"/>
    </row>
    <row r="27" spans="1:16" s="18" customFormat="1" ht="15.75" x14ac:dyDescent="0.25">
      <c r="B27" s="17"/>
      <c r="D27" s="47"/>
    </row>
    <row r="28" spans="1:16" s="18" customFormat="1" x14ac:dyDescent="0.2">
      <c r="C28" s="77" t="s">
        <v>73</v>
      </c>
      <c r="D28" s="77"/>
      <c r="E28" s="77"/>
      <c r="F28" s="78" t="s">
        <v>267</v>
      </c>
      <c r="G28" s="77"/>
      <c r="H28" s="15"/>
      <c r="I28" s="47"/>
      <c r="J28" s="82"/>
    </row>
    <row r="29" spans="1:16" s="18" customFormat="1" x14ac:dyDescent="0.2">
      <c r="C29" s="77" t="s">
        <v>151</v>
      </c>
      <c r="D29" s="77"/>
      <c r="E29" s="77"/>
      <c r="F29" s="77" t="s">
        <v>268</v>
      </c>
      <c r="G29" s="77"/>
      <c r="H29" s="15"/>
      <c r="I29" s="47"/>
      <c r="J29" s="82"/>
    </row>
    <row r="30" spans="1:16" s="77" customFormat="1" x14ac:dyDescent="0.2">
      <c r="C30" s="77" t="s">
        <v>152</v>
      </c>
      <c r="F30" s="77" t="s">
        <v>269</v>
      </c>
      <c r="H30" s="15"/>
      <c r="J30" s="15"/>
    </row>
    <row r="31" spans="1:16" s="18" customFormat="1" x14ac:dyDescent="0.2">
      <c r="B31" s="46"/>
    </row>
    <row r="32" spans="1:16" s="18" customFormat="1" x14ac:dyDescent="0.2">
      <c r="B32" s="46" t="s">
        <v>219</v>
      </c>
    </row>
    <row r="33" spans="2:7" s="18" customFormat="1" x14ac:dyDescent="0.2"/>
    <row r="34" spans="2:7" s="18" customFormat="1" x14ac:dyDescent="0.2">
      <c r="B34" s="77" t="s">
        <v>271</v>
      </c>
      <c r="G34" s="15"/>
    </row>
    <row r="35" spans="2:7" s="18" customFormat="1" x14ac:dyDescent="0.2"/>
    <row r="36" spans="2:7" ht="15.75" x14ac:dyDescent="0.25">
      <c r="B36" s="17"/>
    </row>
    <row r="38" spans="2:7" x14ac:dyDescent="0.2">
      <c r="B38" s="76"/>
    </row>
    <row r="39" spans="2:7" x14ac:dyDescent="0.2">
      <c r="B39" s="76"/>
    </row>
  </sheetData>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2:R39"/>
  <sheetViews>
    <sheetView showGridLines="0" zoomScale="110" zoomScaleNormal="110" workbookViewId="0">
      <selection activeCell="G16" sqref="G16"/>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4" t="s">
        <v>259</v>
      </c>
    </row>
    <row r="3" spans="2:18" x14ac:dyDescent="0.2">
      <c r="B3" t="s">
        <v>4</v>
      </c>
      <c r="G3" s="1" t="s">
        <v>260</v>
      </c>
      <c r="H3" s="1" t="s">
        <v>223</v>
      </c>
      <c r="I3" s="1"/>
      <c r="P3" s="10"/>
      <c r="R3" s="10"/>
    </row>
    <row r="4" spans="2:18" x14ac:dyDescent="0.2">
      <c r="N4" s="36"/>
    </row>
    <row r="5" spans="2:18" x14ac:dyDescent="0.2">
      <c r="B5" s="2" t="s">
        <v>143</v>
      </c>
      <c r="G5" s="37">
        <f>G7-G6</f>
        <v>10432</v>
      </c>
      <c r="H5" s="37">
        <f>H7-H6</f>
        <v>9074</v>
      </c>
      <c r="I5" s="6"/>
    </row>
    <row r="6" spans="2:18" x14ac:dyDescent="0.2">
      <c r="B6" s="76" t="s">
        <v>209</v>
      </c>
      <c r="G6" s="37">
        <f>130+25</f>
        <v>155</v>
      </c>
      <c r="H6" s="38"/>
      <c r="I6" s="7"/>
    </row>
    <row r="7" spans="2:18" x14ac:dyDescent="0.2">
      <c r="B7" s="2" t="s">
        <v>145</v>
      </c>
      <c r="G7" s="79">
        <v>10587</v>
      </c>
      <c r="H7" s="37">
        <v>9074</v>
      </c>
      <c r="I7" s="6"/>
    </row>
    <row r="8" spans="2:18" x14ac:dyDescent="0.2">
      <c r="B8" t="s">
        <v>22</v>
      </c>
      <c r="G8" s="37">
        <v>-33</v>
      </c>
      <c r="H8" s="37">
        <v>2602</v>
      </c>
      <c r="I8" s="6"/>
    </row>
    <row r="9" spans="2:18" x14ac:dyDescent="0.2">
      <c r="B9" s="2" t="s">
        <v>2</v>
      </c>
      <c r="G9" s="37">
        <f>G7+G8</f>
        <v>10554</v>
      </c>
      <c r="H9" s="37">
        <f>H7+H8</f>
        <v>11676</v>
      </c>
      <c r="I9" s="6"/>
    </row>
    <row r="10" spans="2:18" x14ac:dyDescent="0.2">
      <c r="B10" t="s">
        <v>15</v>
      </c>
      <c r="G10" s="37">
        <v>-3979</v>
      </c>
      <c r="H10" s="37">
        <v>-3504</v>
      </c>
      <c r="I10" s="6"/>
      <c r="N10" s="36"/>
      <c r="P10" s="10"/>
    </row>
    <row r="11" spans="2:18" x14ac:dyDescent="0.2">
      <c r="B11" s="76" t="s">
        <v>213</v>
      </c>
      <c r="G11" s="37">
        <v>-13</v>
      </c>
      <c r="H11" s="37">
        <v>-9</v>
      </c>
      <c r="I11" s="6"/>
      <c r="N11" s="36"/>
    </row>
    <row r="12" spans="2:18" x14ac:dyDescent="0.2">
      <c r="B12" s="2" t="s">
        <v>3</v>
      </c>
      <c r="G12" s="37">
        <f>G9+G10+G11</f>
        <v>6562</v>
      </c>
      <c r="H12" s="37">
        <f>H9+H10+H11</f>
        <v>8163</v>
      </c>
      <c r="I12" s="6"/>
    </row>
    <row r="13" spans="2:18" x14ac:dyDescent="0.2">
      <c r="B13" t="s">
        <v>26</v>
      </c>
      <c r="G13" s="37">
        <f>G8</f>
        <v>-33</v>
      </c>
      <c r="H13" s="37">
        <f>H8</f>
        <v>2602</v>
      </c>
      <c r="I13" s="6"/>
    </row>
    <row r="14" spans="2:18" x14ac:dyDescent="0.2">
      <c r="B14" s="2" t="s">
        <v>20</v>
      </c>
      <c r="G14" s="37">
        <f>G11</f>
        <v>-13</v>
      </c>
      <c r="H14" s="37">
        <f>H11</f>
        <v>-9</v>
      </c>
      <c r="I14" s="6"/>
      <c r="N14" s="36"/>
    </row>
    <row r="15" spans="2:18" x14ac:dyDescent="0.2">
      <c r="B15" s="2" t="s">
        <v>21</v>
      </c>
      <c r="G15" s="37">
        <f>G12-G13-G14</f>
        <v>6608</v>
      </c>
      <c r="H15" s="37">
        <f>H12-H13-H14</f>
        <v>5570</v>
      </c>
      <c r="I15" s="6"/>
    </row>
    <row r="16" spans="2:18" x14ac:dyDescent="0.2">
      <c r="B16" s="76" t="s">
        <v>210</v>
      </c>
      <c r="G16" s="37">
        <f>G6</f>
        <v>155</v>
      </c>
      <c r="H16" s="37">
        <f>H6</f>
        <v>0</v>
      </c>
      <c r="I16" s="6"/>
    </row>
    <row r="17" spans="1:16" x14ac:dyDescent="0.2">
      <c r="B17" s="2" t="s">
        <v>144</v>
      </c>
      <c r="G17" s="37">
        <f>G15-G16</f>
        <v>6453</v>
      </c>
      <c r="H17" s="37">
        <f>H15-H16</f>
        <v>5570</v>
      </c>
      <c r="I17" s="6"/>
    </row>
    <row r="19" spans="1:16" s="10" customFormat="1" x14ac:dyDescent="0.2">
      <c r="B19" s="76" t="s">
        <v>256</v>
      </c>
      <c r="C19" s="76"/>
      <c r="D19" s="76"/>
      <c r="E19" s="76"/>
      <c r="F19" s="76"/>
      <c r="G19" s="76"/>
      <c r="H19" s="76"/>
      <c r="I19" s="76"/>
      <c r="J19" s="76"/>
      <c r="K19" s="36"/>
      <c r="L19" s="36"/>
      <c r="M19" s="36"/>
      <c r="N19" s="36"/>
      <c r="O19" s="36"/>
      <c r="P19" s="36"/>
    </row>
    <row r="20" spans="1:16" x14ac:dyDescent="0.2">
      <c r="B20" s="76" t="s">
        <v>141</v>
      </c>
      <c r="C20" s="76"/>
      <c r="D20" s="76"/>
      <c r="E20" s="76"/>
      <c r="F20" s="76"/>
      <c r="G20" s="76"/>
      <c r="H20" s="76"/>
      <c r="I20" s="76"/>
      <c r="J20" s="76"/>
      <c r="K20" s="36"/>
      <c r="L20" s="36"/>
      <c r="M20" s="36"/>
      <c r="N20" s="36"/>
      <c r="O20" s="36"/>
      <c r="P20" s="36"/>
    </row>
    <row r="21" spans="1:16" x14ac:dyDescent="0.2">
      <c r="B21" s="40"/>
      <c r="C21" s="76"/>
      <c r="D21" s="76"/>
      <c r="E21" s="76"/>
      <c r="F21" s="76"/>
      <c r="G21" s="76"/>
      <c r="H21" s="76"/>
      <c r="I21" s="76"/>
      <c r="J21" s="76"/>
      <c r="K21" s="36"/>
      <c r="L21" s="36"/>
      <c r="M21" s="36"/>
      <c r="N21" s="36"/>
      <c r="O21" s="36"/>
      <c r="P21" s="36"/>
    </row>
    <row r="22" spans="1:16" ht="15.75" x14ac:dyDescent="0.25">
      <c r="B22" s="4" t="s">
        <v>129</v>
      </c>
      <c r="C22" s="76"/>
      <c r="D22" s="76"/>
      <c r="E22" s="36"/>
      <c r="F22" s="36"/>
      <c r="G22" s="36"/>
      <c r="H22" s="36"/>
      <c r="I22" s="36"/>
      <c r="J22" s="36"/>
      <c r="K22" s="36"/>
      <c r="L22" s="36"/>
      <c r="M22" s="36"/>
      <c r="N22" s="36"/>
      <c r="O22" s="36"/>
      <c r="P22" s="36"/>
    </row>
    <row r="23" spans="1:16" ht="15.75" x14ac:dyDescent="0.25">
      <c r="B23" s="81"/>
      <c r="C23" s="36"/>
      <c r="D23" s="36"/>
      <c r="E23" s="36"/>
      <c r="F23" s="36"/>
      <c r="G23" s="36"/>
      <c r="H23" s="36"/>
      <c r="I23" s="36"/>
      <c r="J23" s="36"/>
      <c r="K23" s="36"/>
      <c r="L23" s="36"/>
      <c r="M23" s="36"/>
      <c r="N23" s="36"/>
      <c r="O23" s="36"/>
      <c r="P23" s="36"/>
    </row>
    <row r="24" spans="1:16" s="76" customFormat="1" x14ac:dyDescent="0.2">
      <c r="B24" s="80" t="s">
        <v>261</v>
      </c>
    </row>
    <row r="25" spans="1:16" x14ac:dyDescent="0.2">
      <c r="A25" s="18"/>
      <c r="B25" s="46"/>
      <c r="C25" s="18"/>
      <c r="D25" s="18"/>
      <c r="E25" s="18"/>
      <c r="F25" s="18"/>
      <c r="G25" s="18"/>
      <c r="H25" s="18"/>
      <c r="I25" s="18"/>
      <c r="J25" s="18"/>
    </row>
    <row r="26" spans="1:16" ht="15.75" x14ac:dyDescent="0.25">
      <c r="A26" s="18"/>
      <c r="B26" s="17" t="s">
        <v>249</v>
      </c>
      <c r="C26" s="18"/>
      <c r="D26" s="47"/>
      <c r="E26" s="13"/>
      <c r="F26" s="18"/>
      <c r="G26" s="18"/>
      <c r="H26" s="18"/>
      <c r="I26" s="18"/>
      <c r="J26" s="18"/>
    </row>
    <row r="27" spans="1:16" s="18" customFormat="1" ht="15.75" x14ac:dyDescent="0.25">
      <c r="B27" s="17"/>
      <c r="D27" s="47"/>
    </row>
    <row r="28" spans="1:16" s="18" customFormat="1" x14ac:dyDescent="0.2">
      <c r="C28" s="77" t="s">
        <v>73</v>
      </c>
      <c r="D28" s="77"/>
      <c r="E28" s="77"/>
      <c r="F28" s="78" t="s">
        <v>262</v>
      </c>
      <c r="G28" s="77"/>
      <c r="H28" s="15"/>
      <c r="I28" s="47"/>
      <c r="J28" s="82"/>
    </row>
    <row r="29" spans="1:16" s="18" customFormat="1" x14ac:dyDescent="0.2">
      <c r="C29" s="77" t="s">
        <v>151</v>
      </c>
      <c r="D29" s="77"/>
      <c r="E29" s="77"/>
      <c r="F29" s="77" t="s">
        <v>263</v>
      </c>
      <c r="G29" s="77"/>
      <c r="H29" s="15"/>
      <c r="I29" s="47"/>
      <c r="J29" s="82"/>
    </row>
    <row r="30" spans="1:16" s="77" customFormat="1" x14ac:dyDescent="0.2">
      <c r="C30" s="77" t="s">
        <v>152</v>
      </c>
      <c r="F30" s="77" t="s">
        <v>264</v>
      </c>
      <c r="H30" s="15"/>
      <c r="J30" s="15"/>
    </row>
    <row r="31" spans="1:16" s="18" customFormat="1" x14ac:dyDescent="0.2">
      <c r="B31" s="46"/>
    </row>
    <row r="32" spans="1:16" s="18" customFormat="1" x14ac:dyDescent="0.2">
      <c r="B32" s="46" t="s">
        <v>219</v>
      </c>
    </row>
    <row r="33" spans="1:10" x14ac:dyDescent="0.2">
      <c r="A33" s="18"/>
      <c r="B33" s="18"/>
      <c r="C33" s="18"/>
      <c r="D33" s="18"/>
      <c r="E33" s="18"/>
      <c r="F33" s="18"/>
      <c r="G33" s="18"/>
      <c r="H33" s="18"/>
      <c r="I33" s="18"/>
      <c r="J33" s="18"/>
    </row>
    <row r="34" spans="1:10" x14ac:dyDescent="0.2">
      <c r="A34" s="18"/>
      <c r="B34" s="77" t="s">
        <v>265</v>
      </c>
      <c r="C34" s="18"/>
      <c r="D34" s="18"/>
      <c r="E34" s="18"/>
      <c r="F34" s="18"/>
      <c r="G34" s="15"/>
      <c r="H34" s="18"/>
      <c r="I34" s="18"/>
      <c r="J34" s="18"/>
    </row>
    <row r="35" spans="1:10" x14ac:dyDescent="0.2">
      <c r="F35" s="18"/>
      <c r="G35" s="18"/>
      <c r="H35" s="18"/>
      <c r="I35" s="18"/>
      <c r="J35" s="18"/>
    </row>
    <row r="36" spans="1:10" ht="15.75" x14ac:dyDescent="0.25">
      <c r="B36" s="17"/>
    </row>
    <row r="38" spans="1:10" x14ac:dyDescent="0.2">
      <c r="B38" s="76"/>
    </row>
    <row r="39" spans="1:10" x14ac:dyDescent="0.2">
      <c r="B39" s="76"/>
    </row>
  </sheetData>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2:R41"/>
  <sheetViews>
    <sheetView showGridLines="0" zoomScale="110" zoomScaleNormal="110" workbookViewId="0">
      <selection activeCell="B36" sqref="B36"/>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4" t="s">
        <v>258</v>
      </c>
    </row>
    <row r="3" spans="2:18" x14ac:dyDescent="0.2">
      <c r="B3" t="s">
        <v>4</v>
      </c>
      <c r="G3" s="1" t="s">
        <v>248</v>
      </c>
      <c r="H3" s="1" t="s">
        <v>207</v>
      </c>
      <c r="I3" s="1"/>
      <c r="P3" s="10"/>
      <c r="R3" s="10"/>
    </row>
    <row r="4" spans="2:18" x14ac:dyDescent="0.2">
      <c r="N4" s="36"/>
    </row>
    <row r="5" spans="2:18" x14ac:dyDescent="0.2">
      <c r="B5" s="2" t="s">
        <v>143</v>
      </c>
      <c r="G5" s="37">
        <f>G7-G6</f>
        <v>9083</v>
      </c>
      <c r="H5" s="37">
        <f>H7-H6</f>
        <v>8763.4299986111</v>
      </c>
      <c r="I5" s="6"/>
    </row>
    <row r="6" spans="2:18" x14ac:dyDescent="0.2">
      <c r="B6" s="76" t="s">
        <v>209</v>
      </c>
      <c r="G6" s="37">
        <f>-51+59</f>
        <v>8</v>
      </c>
      <c r="H6" s="38">
        <f>56-55-26</f>
        <v>-25</v>
      </c>
      <c r="I6" s="7"/>
    </row>
    <row r="7" spans="2:18" x14ac:dyDescent="0.2">
      <c r="B7" s="2" t="s">
        <v>145</v>
      </c>
      <c r="G7" s="79">
        <v>9091</v>
      </c>
      <c r="H7" s="37">
        <v>8738.4299986111</v>
      </c>
      <c r="I7" s="6"/>
    </row>
    <row r="8" spans="2:18" x14ac:dyDescent="0.2">
      <c r="B8" t="s">
        <v>22</v>
      </c>
      <c r="G8" s="37">
        <v>-208</v>
      </c>
      <c r="H8" s="37">
        <v>-141.69999999999999</v>
      </c>
      <c r="I8" s="6"/>
    </row>
    <row r="9" spans="2:18" x14ac:dyDescent="0.2">
      <c r="B9" s="2" t="s">
        <v>2</v>
      </c>
      <c r="G9" s="37">
        <f>G7+G8</f>
        <v>8883</v>
      </c>
      <c r="H9" s="37">
        <f>H7+H8</f>
        <v>8596.7299986110993</v>
      </c>
      <c r="I9" s="6"/>
    </row>
    <row r="10" spans="2:18" x14ac:dyDescent="0.2">
      <c r="B10" t="s">
        <v>15</v>
      </c>
      <c r="G10" s="37">
        <v>-4003.4226106111983</v>
      </c>
      <c r="H10" s="37">
        <v>-3336.7271460722714</v>
      </c>
      <c r="I10" s="6"/>
      <c r="N10" s="36"/>
      <c r="P10" s="10"/>
    </row>
    <row r="11" spans="2:18" x14ac:dyDescent="0.2">
      <c r="B11" s="76" t="s">
        <v>213</v>
      </c>
      <c r="G11" s="37">
        <v>-8.7366112411431018</v>
      </c>
      <c r="H11" s="37">
        <v>-26.390673402234995</v>
      </c>
      <c r="I11" s="6"/>
      <c r="N11" s="36"/>
    </row>
    <row r="12" spans="2:18" x14ac:dyDescent="0.2">
      <c r="B12" s="2" t="s">
        <v>3</v>
      </c>
      <c r="G12" s="37">
        <f>G9+G10+G11</f>
        <v>4870.840778147659</v>
      </c>
      <c r="H12" s="37">
        <f>H9+H10+H11</f>
        <v>5233.6121791365931</v>
      </c>
      <c r="I12" s="6"/>
    </row>
    <row r="13" spans="2:18" x14ac:dyDescent="0.2">
      <c r="B13" t="s">
        <v>26</v>
      </c>
      <c r="G13" s="37">
        <f>G8</f>
        <v>-208</v>
      </c>
      <c r="H13" s="37">
        <f>H8</f>
        <v>-141.69999999999999</v>
      </c>
      <c r="I13" s="6"/>
    </row>
    <row r="14" spans="2:18" x14ac:dyDescent="0.2">
      <c r="B14" s="2" t="s">
        <v>20</v>
      </c>
      <c r="G14" s="37">
        <f>G11</f>
        <v>-8.7366112411431018</v>
      </c>
      <c r="H14" s="37">
        <f>H11</f>
        <v>-26.390673402234995</v>
      </c>
      <c r="I14" s="6"/>
      <c r="N14" s="36"/>
    </row>
    <row r="15" spans="2:18" x14ac:dyDescent="0.2">
      <c r="B15" s="2" t="s">
        <v>21</v>
      </c>
      <c r="G15" s="37">
        <f>G12-G13-G14</f>
        <v>5087.5773893888017</v>
      </c>
      <c r="H15" s="37">
        <f>H12-H13-H14</f>
        <v>5401.7028525388278</v>
      </c>
      <c r="I15" s="6"/>
    </row>
    <row r="16" spans="2:18" x14ac:dyDescent="0.2">
      <c r="B16" s="76" t="s">
        <v>210</v>
      </c>
      <c r="G16" s="37">
        <f>G6</f>
        <v>8</v>
      </c>
      <c r="H16" s="37">
        <f>H6</f>
        <v>-25</v>
      </c>
      <c r="I16" s="6"/>
    </row>
    <row r="17" spans="1:10" x14ac:dyDescent="0.2">
      <c r="B17" s="2" t="s">
        <v>144</v>
      </c>
      <c r="G17" s="37">
        <f>G15-G16</f>
        <v>5079.5773893888017</v>
      </c>
      <c r="H17" s="37">
        <f>H15-H16</f>
        <v>5426.7028525388278</v>
      </c>
      <c r="I17" s="6"/>
    </row>
    <row r="19" spans="1:10" s="10" customFormat="1" x14ac:dyDescent="0.2">
      <c r="B19" s="76" t="s">
        <v>256</v>
      </c>
    </row>
    <row r="20" spans="1:10" x14ac:dyDescent="0.2">
      <c r="B20" s="76" t="s">
        <v>141</v>
      </c>
    </row>
    <row r="21" spans="1:10" x14ac:dyDescent="0.2">
      <c r="B21" s="40"/>
    </row>
    <row r="22" spans="1:10" ht="15.75" x14ac:dyDescent="0.25">
      <c r="B22" s="4" t="s">
        <v>129</v>
      </c>
    </row>
    <row r="23" spans="1:10" ht="15.75" x14ac:dyDescent="0.25">
      <c r="B23" s="4"/>
    </row>
    <row r="24" spans="1:10" x14ac:dyDescent="0.2">
      <c r="B24" s="80" t="s">
        <v>254</v>
      </c>
    </row>
    <row r="25" spans="1:10" x14ac:dyDescent="0.2">
      <c r="B25" s="80" t="s">
        <v>255</v>
      </c>
    </row>
    <row r="26" spans="1:10" x14ac:dyDescent="0.2">
      <c r="B26" s="80" t="s">
        <v>253</v>
      </c>
    </row>
    <row r="27" spans="1:10" x14ac:dyDescent="0.2">
      <c r="A27" s="18"/>
      <c r="B27" s="46"/>
      <c r="C27" s="18"/>
      <c r="D27" s="18"/>
      <c r="E27" s="18"/>
      <c r="F27" s="18"/>
      <c r="G27" s="18"/>
      <c r="H27" s="18"/>
      <c r="I27" s="18"/>
      <c r="J27" s="18"/>
    </row>
    <row r="28" spans="1:10" ht="15.75" x14ac:dyDescent="0.25">
      <c r="A28" s="18"/>
      <c r="B28" s="17" t="s">
        <v>249</v>
      </c>
      <c r="C28" s="18"/>
      <c r="D28" s="47"/>
      <c r="E28" s="13"/>
      <c r="F28" s="18"/>
      <c r="G28" s="18"/>
      <c r="H28" s="18"/>
      <c r="I28" s="18"/>
      <c r="J28" s="18"/>
    </row>
    <row r="29" spans="1:10" s="18" customFormat="1" ht="15.75" x14ac:dyDescent="0.25">
      <c r="B29" s="17"/>
      <c r="D29" s="47"/>
    </row>
    <row r="30" spans="1:10" s="18" customFormat="1" x14ac:dyDescent="0.2">
      <c r="C30" s="13" t="s">
        <v>73</v>
      </c>
      <c r="F30" s="78" t="s">
        <v>257</v>
      </c>
      <c r="G30" s="13"/>
      <c r="H30" s="15"/>
      <c r="J30" s="15"/>
    </row>
    <row r="31" spans="1:10" s="18" customFormat="1" x14ac:dyDescent="0.2">
      <c r="C31" s="13" t="s">
        <v>151</v>
      </c>
      <c r="F31" s="77" t="s">
        <v>250</v>
      </c>
      <c r="G31" s="13"/>
      <c r="H31" s="15"/>
      <c r="J31" s="15"/>
    </row>
    <row r="32" spans="1:10" s="18" customFormat="1" x14ac:dyDescent="0.2">
      <c r="C32" s="13" t="s">
        <v>152</v>
      </c>
      <c r="F32" s="77" t="s">
        <v>251</v>
      </c>
      <c r="G32" s="13"/>
      <c r="H32" s="15"/>
      <c r="J32" s="15"/>
    </row>
    <row r="33" spans="1:10" s="18" customFormat="1" x14ac:dyDescent="0.2">
      <c r="B33" s="46"/>
    </row>
    <row r="34" spans="1:10" s="18" customFormat="1" x14ac:dyDescent="0.2">
      <c r="B34" s="46" t="s">
        <v>219</v>
      </c>
    </row>
    <row r="35" spans="1:10" x14ac:dyDescent="0.2">
      <c r="A35" s="18"/>
      <c r="B35" s="18"/>
      <c r="C35" s="18"/>
      <c r="D35" s="18"/>
      <c r="E35" s="18"/>
      <c r="F35" s="18"/>
      <c r="G35" s="18"/>
      <c r="H35" s="18"/>
      <c r="I35" s="18"/>
      <c r="J35" s="18"/>
    </row>
    <row r="36" spans="1:10" x14ac:dyDescent="0.2">
      <c r="A36" s="18"/>
      <c r="B36" s="77" t="s">
        <v>252</v>
      </c>
      <c r="C36" s="18"/>
      <c r="D36" s="18"/>
      <c r="E36" s="18"/>
      <c r="F36" s="18"/>
      <c r="G36" s="15"/>
      <c r="H36" s="18"/>
      <c r="I36" s="18"/>
      <c r="J36" s="18"/>
    </row>
    <row r="37" spans="1:10" x14ac:dyDescent="0.2">
      <c r="F37" s="18"/>
      <c r="G37" s="18"/>
      <c r="H37" s="18"/>
      <c r="I37" s="18"/>
      <c r="J37" s="18"/>
    </row>
    <row r="38" spans="1:10" ht="15.75" x14ac:dyDescent="0.25">
      <c r="B38" s="17"/>
    </row>
    <row r="40" spans="1:10" x14ac:dyDescent="0.2">
      <c r="B40" s="76"/>
    </row>
    <row r="41" spans="1:10" x14ac:dyDescent="0.2">
      <c r="B41" s="76"/>
    </row>
  </sheetData>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2:R40"/>
  <sheetViews>
    <sheetView showGridLines="0" workbookViewId="0">
      <selection activeCell="B25" sqref="B25"/>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4" t="s">
        <v>239</v>
      </c>
    </row>
    <row r="3" spans="2:18" x14ac:dyDescent="0.2">
      <c r="B3" t="s">
        <v>4</v>
      </c>
      <c r="G3" s="1" t="s">
        <v>240</v>
      </c>
      <c r="H3" s="1" t="s">
        <v>198</v>
      </c>
      <c r="I3" s="1"/>
      <c r="P3" s="10"/>
      <c r="R3" s="10"/>
    </row>
    <row r="4" spans="2:18" x14ac:dyDescent="0.2">
      <c r="N4" s="36"/>
    </row>
    <row r="5" spans="2:18" x14ac:dyDescent="0.2">
      <c r="B5" s="2" t="s">
        <v>143</v>
      </c>
      <c r="G5" s="37">
        <f>G7-G6</f>
        <v>10263.010881522994</v>
      </c>
      <c r="H5" s="37">
        <f>H7-H6</f>
        <v>9619</v>
      </c>
      <c r="I5" s="6"/>
    </row>
    <row r="6" spans="2:18" x14ac:dyDescent="0.2">
      <c r="B6" s="76" t="s">
        <v>209</v>
      </c>
      <c r="G6" s="38">
        <v>0</v>
      </c>
      <c r="H6" s="38">
        <v>0</v>
      </c>
      <c r="I6" s="7"/>
    </row>
    <row r="7" spans="2:18" x14ac:dyDescent="0.2">
      <c r="B7" s="2" t="s">
        <v>145</v>
      </c>
      <c r="G7" s="79">
        <v>10263.010881522994</v>
      </c>
      <c r="H7" s="37">
        <v>9619</v>
      </c>
      <c r="I7" s="6"/>
    </row>
    <row r="8" spans="2:18" x14ac:dyDescent="0.2">
      <c r="B8" t="s">
        <v>22</v>
      </c>
      <c r="G8" s="37">
        <v>-100.49493441713548</v>
      </c>
      <c r="H8" s="37">
        <v>-154</v>
      </c>
      <c r="I8" s="6"/>
    </row>
    <row r="9" spans="2:18" x14ac:dyDescent="0.2">
      <c r="B9" s="2" t="s">
        <v>2</v>
      </c>
      <c r="G9" s="37">
        <f>G7+G8</f>
        <v>10162.515947105858</v>
      </c>
      <c r="H9" s="37">
        <f>H7+H8</f>
        <v>9465</v>
      </c>
      <c r="I9" s="6"/>
    </row>
    <row r="10" spans="2:18" x14ac:dyDescent="0.2">
      <c r="B10" t="s">
        <v>15</v>
      </c>
      <c r="G10" s="37">
        <v>-3872.2459602297213</v>
      </c>
      <c r="H10" s="37">
        <v>-3337</v>
      </c>
      <c r="I10" s="6"/>
      <c r="N10" s="36"/>
      <c r="P10" s="10"/>
    </row>
    <row r="11" spans="2:18" x14ac:dyDescent="0.2">
      <c r="B11" s="76" t="s">
        <v>213</v>
      </c>
      <c r="G11" s="37">
        <v>-16.858578033564008</v>
      </c>
      <c r="H11" s="37">
        <v>-122</v>
      </c>
      <c r="I11" s="6"/>
      <c r="N11" s="36"/>
    </row>
    <row r="12" spans="2:18" x14ac:dyDescent="0.2">
      <c r="B12" s="2" t="s">
        <v>3</v>
      </c>
      <c r="G12" s="37">
        <f>G9+G10+G11</f>
        <v>6273.4114088425722</v>
      </c>
      <c r="H12" s="37">
        <f>H9+H10+H11</f>
        <v>6006</v>
      </c>
      <c r="I12" s="6"/>
    </row>
    <row r="13" spans="2:18" x14ac:dyDescent="0.2">
      <c r="B13" t="s">
        <v>26</v>
      </c>
      <c r="G13" s="37">
        <f>G8</f>
        <v>-100.49493441713548</v>
      </c>
      <c r="H13" s="37">
        <f>H8</f>
        <v>-154</v>
      </c>
      <c r="I13" s="6"/>
    </row>
    <row r="14" spans="2:18" x14ac:dyDescent="0.2">
      <c r="B14" s="2" t="s">
        <v>20</v>
      </c>
      <c r="G14" s="37">
        <f>G11</f>
        <v>-16.858578033564008</v>
      </c>
      <c r="H14" s="37">
        <f>H11</f>
        <v>-122</v>
      </c>
      <c r="I14" s="6"/>
      <c r="N14" s="36"/>
    </row>
    <row r="15" spans="2:18" x14ac:dyDescent="0.2">
      <c r="B15" s="2" t="s">
        <v>21</v>
      </c>
      <c r="G15" s="37">
        <f>G12-G13-G14</f>
        <v>6390.764921293272</v>
      </c>
      <c r="H15" s="37">
        <f>H12-H13-H14</f>
        <v>6282</v>
      </c>
      <c r="I15" s="6"/>
    </row>
    <row r="16" spans="2:18" x14ac:dyDescent="0.2">
      <c r="B16" s="76" t="s">
        <v>210</v>
      </c>
      <c r="G16" s="37">
        <f>G6</f>
        <v>0</v>
      </c>
      <c r="H16" s="37">
        <f>H6</f>
        <v>0</v>
      </c>
      <c r="I16" s="6"/>
    </row>
    <row r="17" spans="1:13" x14ac:dyDescent="0.2">
      <c r="B17" s="2" t="s">
        <v>144</v>
      </c>
      <c r="G17" s="37">
        <f>G15-G16</f>
        <v>6390.764921293272</v>
      </c>
      <c r="H17" s="37">
        <f>H15-H16</f>
        <v>6282</v>
      </c>
      <c r="I17" s="6"/>
    </row>
    <row r="19" spans="1:13" s="10" customFormat="1" x14ac:dyDescent="0.2"/>
    <row r="20" spans="1:13" x14ac:dyDescent="0.2">
      <c r="B20" s="40" t="s">
        <v>141</v>
      </c>
    </row>
    <row r="21" spans="1:13" x14ac:dyDescent="0.2">
      <c r="B21" s="40"/>
    </row>
    <row r="22" spans="1:13" ht="15.75" x14ac:dyDescent="0.25">
      <c r="B22" s="4" t="s">
        <v>129</v>
      </c>
    </row>
    <row r="23" spans="1:13" ht="15.75" x14ac:dyDescent="0.25">
      <c r="B23" s="4"/>
    </row>
    <row r="24" spans="1:13" s="18" customFormat="1" x14ac:dyDescent="0.2">
      <c r="B24" s="49" t="s">
        <v>246</v>
      </c>
      <c r="C24" s="50"/>
      <c r="D24" s="50"/>
      <c r="E24" s="50"/>
      <c r="F24" s="50"/>
      <c r="G24" s="50"/>
      <c r="H24" s="50"/>
      <c r="I24" s="50"/>
      <c r="J24" s="50"/>
      <c r="K24" s="50"/>
      <c r="L24" s="50"/>
      <c r="M24" s="50"/>
    </row>
    <row r="25" spans="1:13" x14ac:dyDescent="0.2">
      <c r="B25" s="40" t="s">
        <v>241</v>
      </c>
    </row>
    <row r="26" spans="1:13" x14ac:dyDescent="0.2">
      <c r="A26" s="18"/>
      <c r="B26" s="46"/>
      <c r="C26" s="18"/>
      <c r="D26" s="18"/>
      <c r="E26" s="18"/>
      <c r="F26" s="18"/>
      <c r="G26" s="18"/>
      <c r="H26" s="18"/>
      <c r="I26" s="18"/>
      <c r="J26" s="18"/>
    </row>
    <row r="27" spans="1:13" ht="15.75" x14ac:dyDescent="0.25">
      <c r="A27" s="18"/>
      <c r="B27" s="17" t="s">
        <v>229</v>
      </c>
      <c r="C27" s="18"/>
      <c r="D27" s="47"/>
      <c r="E27" s="13"/>
      <c r="F27" s="18"/>
      <c r="G27" s="18"/>
      <c r="H27" s="18"/>
      <c r="I27" s="18"/>
      <c r="J27" s="18"/>
    </row>
    <row r="28" spans="1:13" s="18" customFormat="1" ht="15.75" x14ac:dyDescent="0.25">
      <c r="B28" s="17"/>
      <c r="D28" s="47"/>
    </row>
    <row r="29" spans="1:13" s="18" customFormat="1" x14ac:dyDescent="0.2">
      <c r="C29" s="13" t="s">
        <v>73</v>
      </c>
      <c r="F29" s="78" t="s">
        <v>72</v>
      </c>
      <c r="G29" s="13"/>
      <c r="H29" s="15" t="s">
        <v>232</v>
      </c>
      <c r="J29" s="15"/>
    </row>
    <row r="30" spans="1:13" s="18" customFormat="1" x14ac:dyDescent="0.2">
      <c r="C30" s="13" t="s">
        <v>151</v>
      </c>
      <c r="F30" s="77" t="s">
        <v>237</v>
      </c>
      <c r="G30" s="13"/>
      <c r="H30" s="15" t="s">
        <v>232</v>
      </c>
      <c r="J30" s="15"/>
    </row>
    <row r="31" spans="1:13" s="18" customFormat="1" x14ac:dyDescent="0.2">
      <c r="C31" s="13" t="s">
        <v>152</v>
      </c>
      <c r="F31" s="77" t="s">
        <v>233</v>
      </c>
      <c r="G31" s="13"/>
      <c r="H31" s="15" t="s">
        <v>232</v>
      </c>
      <c r="J31" s="15"/>
    </row>
    <row r="32" spans="1:13" s="18" customFormat="1" x14ac:dyDescent="0.2">
      <c r="B32" s="46"/>
    </row>
    <row r="33" spans="1:10" s="18" customFormat="1" x14ac:dyDescent="0.2">
      <c r="B33" s="46" t="s">
        <v>219</v>
      </c>
    </row>
    <row r="34" spans="1:10" x14ac:dyDescent="0.2">
      <c r="A34" s="18"/>
      <c r="B34" s="18"/>
      <c r="C34" s="18"/>
      <c r="D34" s="18"/>
      <c r="E34" s="18"/>
      <c r="F34" s="18"/>
      <c r="G34" s="18"/>
      <c r="H34" s="18"/>
      <c r="I34" s="18"/>
      <c r="J34" s="18"/>
    </row>
    <row r="35" spans="1:10" x14ac:dyDescent="0.2">
      <c r="A35" s="18"/>
      <c r="B35" s="77" t="s">
        <v>242</v>
      </c>
      <c r="C35" s="18"/>
      <c r="D35" s="18"/>
      <c r="E35" s="18"/>
      <c r="F35" s="18"/>
      <c r="G35" s="15" t="s">
        <v>243</v>
      </c>
      <c r="H35" s="18"/>
      <c r="I35" s="18"/>
      <c r="J35" s="18"/>
    </row>
    <row r="36" spans="1:10" x14ac:dyDescent="0.2">
      <c r="F36" s="18"/>
      <c r="G36" s="18"/>
      <c r="H36" s="18"/>
      <c r="I36" s="18"/>
      <c r="J36" s="18"/>
    </row>
    <row r="37" spans="1:10" ht="15.75" x14ac:dyDescent="0.25">
      <c r="B37" s="17" t="s">
        <v>244</v>
      </c>
    </row>
    <row r="39" spans="1:10" x14ac:dyDescent="0.2">
      <c r="B39" s="76" t="s">
        <v>247</v>
      </c>
    </row>
    <row r="40" spans="1:10" x14ac:dyDescent="0.2">
      <c r="B40" s="76" t="s">
        <v>245</v>
      </c>
    </row>
  </sheetData>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2:R36"/>
  <sheetViews>
    <sheetView showGridLines="0" workbookViewId="0">
      <selection activeCell="H25" sqref="H25"/>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4" t="s">
        <v>230</v>
      </c>
      <c r="G2" s="76"/>
    </row>
    <row r="3" spans="2:18" x14ac:dyDescent="0.2">
      <c r="B3" t="s">
        <v>4</v>
      </c>
      <c r="G3" s="1" t="s">
        <v>228</v>
      </c>
      <c r="H3" s="1" t="s">
        <v>193</v>
      </c>
      <c r="I3" s="1"/>
      <c r="P3" s="10"/>
      <c r="R3" s="10"/>
    </row>
    <row r="4" spans="2:18" x14ac:dyDescent="0.2">
      <c r="N4" s="36"/>
    </row>
    <row r="5" spans="2:18" x14ac:dyDescent="0.2">
      <c r="B5" s="2" t="s">
        <v>143</v>
      </c>
      <c r="G5" s="37">
        <f>G7-G6</f>
        <v>9643</v>
      </c>
      <c r="H5" s="37">
        <f>H7-H6</f>
        <v>8924</v>
      </c>
      <c r="I5" s="6"/>
    </row>
    <row r="6" spans="2:18" x14ac:dyDescent="0.2">
      <c r="B6" s="76" t="s">
        <v>209</v>
      </c>
      <c r="G6" s="38">
        <f>-27</f>
        <v>-27</v>
      </c>
      <c r="H6" s="38">
        <f>47-114</f>
        <v>-67</v>
      </c>
      <c r="I6" s="7"/>
    </row>
    <row r="7" spans="2:18" x14ac:dyDescent="0.2">
      <c r="B7" s="2" t="s">
        <v>145</v>
      </c>
      <c r="G7" s="37">
        <v>9616</v>
      </c>
      <c r="H7" s="37">
        <v>8857</v>
      </c>
      <c r="I7" s="6"/>
    </row>
    <row r="8" spans="2:18" x14ac:dyDescent="0.2">
      <c r="B8" t="s">
        <v>22</v>
      </c>
      <c r="G8" s="37">
        <v>-196</v>
      </c>
      <c r="H8" s="37">
        <v>-94</v>
      </c>
      <c r="I8" s="6"/>
    </row>
    <row r="9" spans="2:18" x14ac:dyDescent="0.2">
      <c r="B9" s="2" t="s">
        <v>2</v>
      </c>
      <c r="G9" s="37">
        <f>G7+G8</f>
        <v>9420</v>
      </c>
      <c r="H9" s="37">
        <f>H7+H8</f>
        <v>8763</v>
      </c>
      <c r="I9" s="6"/>
    </row>
    <row r="10" spans="2:18" x14ac:dyDescent="0.2">
      <c r="B10" t="s">
        <v>15</v>
      </c>
      <c r="G10" s="37">
        <v>-3737</v>
      </c>
      <c r="H10" s="37">
        <v>-3391</v>
      </c>
      <c r="I10" s="6"/>
      <c r="N10" s="36"/>
      <c r="P10" s="10"/>
    </row>
    <row r="11" spans="2:18" x14ac:dyDescent="0.2">
      <c r="B11" s="76" t="s">
        <v>213</v>
      </c>
      <c r="G11" s="37">
        <v>0</v>
      </c>
      <c r="H11" s="37">
        <v>0</v>
      </c>
      <c r="I11" s="6"/>
      <c r="N11" s="36"/>
    </row>
    <row r="12" spans="2:18" x14ac:dyDescent="0.2">
      <c r="B12" s="2" t="s">
        <v>3</v>
      </c>
      <c r="G12" s="37">
        <f>G9+G10+G11</f>
        <v>5683</v>
      </c>
      <c r="H12" s="37">
        <f>H9+H10+H11</f>
        <v>5372</v>
      </c>
      <c r="I12" s="6"/>
    </row>
    <row r="13" spans="2:18" x14ac:dyDescent="0.2">
      <c r="B13" t="s">
        <v>26</v>
      </c>
      <c r="G13" s="37">
        <f>G8</f>
        <v>-196</v>
      </c>
      <c r="H13" s="37">
        <f>H8</f>
        <v>-94</v>
      </c>
      <c r="I13" s="6"/>
    </row>
    <row r="14" spans="2:18" x14ac:dyDescent="0.2">
      <c r="B14" s="2" t="s">
        <v>20</v>
      </c>
      <c r="G14" s="37">
        <f>G11</f>
        <v>0</v>
      </c>
      <c r="H14" s="37">
        <f>H11</f>
        <v>0</v>
      </c>
      <c r="I14" s="6"/>
      <c r="N14" s="36"/>
    </row>
    <row r="15" spans="2:18" x14ac:dyDescent="0.2">
      <c r="B15" s="2" t="s">
        <v>21</v>
      </c>
      <c r="G15" s="37">
        <f>G12-G13-G14</f>
        <v>5879</v>
      </c>
      <c r="H15" s="37">
        <f>H12-H13-H14</f>
        <v>5466</v>
      </c>
      <c r="I15" s="6"/>
    </row>
    <row r="16" spans="2:18" x14ac:dyDescent="0.2">
      <c r="B16" s="76" t="s">
        <v>210</v>
      </c>
      <c r="G16" s="37">
        <f>G6</f>
        <v>-27</v>
      </c>
      <c r="H16" s="37">
        <f>H6</f>
        <v>-67</v>
      </c>
      <c r="I16" s="6"/>
    </row>
    <row r="17" spans="1:13" x14ac:dyDescent="0.2">
      <c r="B17" s="2" t="s">
        <v>144</v>
      </c>
      <c r="G17" s="37">
        <f>G15-G16</f>
        <v>5906</v>
      </c>
      <c r="H17" s="37">
        <f>H15-H16</f>
        <v>5533</v>
      </c>
      <c r="I17" s="6"/>
    </row>
    <row r="19" spans="1:13" s="10" customFormat="1" x14ac:dyDescent="0.2"/>
    <row r="20" spans="1:13" x14ac:dyDescent="0.2">
      <c r="B20" s="40" t="s">
        <v>141</v>
      </c>
    </row>
    <row r="21" spans="1:13" x14ac:dyDescent="0.2">
      <c r="B21" s="40"/>
    </row>
    <row r="22" spans="1:13" ht="15.75" x14ac:dyDescent="0.25">
      <c r="B22" s="4" t="s">
        <v>129</v>
      </c>
    </row>
    <row r="23" spans="1:13" ht="15.75" x14ac:dyDescent="0.25">
      <c r="B23" s="4"/>
    </row>
    <row r="24" spans="1:13" s="18" customFormat="1" x14ac:dyDescent="0.2">
      <c r="B24" s="49" t="s">
        <v>235</v>
      </c>
      <c r="C24" s="50"/>
      <c r="D24" s="50"/>
      <c r="E24" s="50"/>
      <c r="F24" s="50"/>
      <c r="G24" s="50"/>
      <c r="H24" s="50"/>
      <c r="I24" s="50"/>
      <c r="J24" s="50"/>
      <c r="K24" s="50"/>
      <c r="L24" s="50"/>
      <c r="M24" s="50"/>
    </row>
    <row r="25" spans="1:13" x14ac:dyDescent="0.2">
      <c r="B25" s="40" t="s">
        <v>236</v>
      </c>
    </row>
    <row r="26" spans="1:13" x14ac:dyDescent="0.2">
      <c r="A26" s="18"/>
      <c r="B26" s="46"/>
      <c r="C26" s="18"/>
      <c r="D26" s="18"/>
      <c r="E26" s="18"/>
      <c r="F26" s="18"/>
      <c r="G26" s="18"/>
      <c r="H26" s="18"/>
      <c r="I26" s="18"/>
      <c r="J26" s="18"/>
    </row>
    <row r="27" spans="1:13" ht="15.75" x14ac:dyDescent="0.25">
      <c r="A27" s="18"/>
      <c r="B27" s="17" t="s">
        <v>229</v>
      </c>
      <c r="C27" s="18"/>
      <c r="D27" s="47"/>
      <c r="E27" s="13"/>
      <c r="F27" s="18"/>
      <c r="G27" s="18"/>
      <c r="H27" s="18"/>
      <c r="I27" s="18"/>
      <c r="J27" s="18"/>
    </row>
    <row r="28" spans="1:13" s="18" customFormat="1" ht="15.75" x14ac:dyDescent="0.25">
      <c r="B28" s="17"/>
      <c r="D28" s="47"/>
    </row>
    <row r="29" spans="1:13" s="18" customFormat="1" x14ac:dyDescent="0.2">
      <c r="C29" s="13" t="s">
        <v>73</v>
      </c>
      <c r="F29" s="78" t="s">
        <v>72</v>
      </c>
      <c r="G29" s="13"/>
      <c r="H29" s="15" t="s">
        <v>232</v>
      </c>
      <c r="J29" s="15"/>
    </row>
    <row r="30" spans="1:13" s="18" customFormat="1" x14ac:dyDescent="0.2">
      <c r="C30" s="13" t="s">
        <v>151</v>
      </c>
      <c r="F30" s="77" t="s">
        <v>237</v>
      </c>
      <c r="G30" s="13"/>
      <c r="H30" s="15" t="s">
        <v>231</v>
      </c>
      <c r="J30" s="15"/>
    </row>
    <row r="31" spans="1:13" s="18" customFormat="1" x14ac:dyDescent="0.2">
      <c r="C31" s="13" t="s">
        <v>152</v>
      </c>
      <c r="F31" s="77" t="s">
        <v>233</v>
      </c>
      <c r="G31" s="13"/>
      <c r="H31" s="15" t="s">
        <v>238</v>
      </c>
      <c r="J31" s="15"/>
    </row>
    <row r="32" spans="1:13" s="18" customFormat="1" x14ac:dyDescent="0.2">
      <c r="B32" s="46"/>
    </row>
    <row r="33" spans="1:10" s="18" customFormat="1" x14ac:dyDescent="0.2">
      <c r="B33" s="46" t="s">
        <v>219</v>
      </c>
    </row>
    <row r="34" spans="1:10" x14ac:dyDescent="0.2">
      <c r="A34" s="18"/>
      <c r="B34" s="18"/>
      <c r="C34" s="18"/>
      <c r="D34" s="18"/>
      <c r="E34" s="18"/>
      <c r="F34" s="18"/>
      <c r="G34" s="18"/>
      <c r="H34" s="18"/>
      <c r="I34" s="18"/>
      <c r="J34" s="18"/>
    </row>
    <row r="35" spans="1:10" x14ac:dyDescent="0.2">
      <c r="A35" s="18"/>
      <c r="B35" s="77" t="s">
        <v>227</v>
      </c>
      <c r="C35" s="18"/>
      <c r="D35" s="18"/>
      <c r="E35" s="18"/>
      <c r="F35" s="18"/>
      <c r="G35" s="15" t="s">
        <v>234</v>
      </c>
      <c r="H35" s="18"/>
      <c r="I35" s="18"/>
      <c r="J35" s="18"/>
    </row>
    <row r="36" spans="1:10" x14ac:dyDescent="0.2">
      <c r="F36" s="18"/>
      <c r="G36" s="18"/>
      <c r="H36" s="18"/>
      <c r="I36" s="18"/>
      <c r="J36" s="18"/>
    </row>
  </sheetData>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2:R37"/>
  <sheetViews>
    <sheetView showGridLines="0" workbookViewId="0">
      <selection activeCell="G9" sqref="G9"/>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4" t="s">
        <v>222</v>
      </c>
    </row>
    <row r="3" spans="2:18" x14ac:dyDescent="0.2">
      <c r="B3" t="s">
        <v>4</v>
      </c>
      <c r="G3" s="1" t="s">
        <v>223</v>
      </c>
      <c r="H3" s="1" t="s">
        <v>185</v>
      </c>
      <c r="I3" s="1"/>
      <c r="P3" s="76"/>
      <c r="R3" s="76"/>
    </row>
    <row r="4" spans="2:18" x14ac:dyDescent="0.2">
      <c r="N4" s="36"/>
    </row>
    <row r="5" spans="2:18" x14ac:dyDescent="0.2">
      <c r="B5" s="2" t="s">
        <v>143</v>
      </c>
      <c r="G5" s="37">
        <f>G7-G6</f>
        <v>9298</v>
      </c>
      <c r="H5" s="37">
        <f>H7-H6</f>
        <v>8380</v>
      </c>
      <c r="I5" s="6"/>
    </row>
    <row r="6" spans="2:18" x14ac:dyDescent="0.2">
      <c r="B6" s="76" t="s">
        <v>209</v>
      </c>
      <c r="G6" s="38">
        <v>0</v>
      </c>
      <c r="H6" s="38">
        <v>43</v>
      </c>
      <c r="I6" s="7"/>
    </row>
    <row r="7" spans="2:18" x14ac:dyDescent="0.2">
      <c r="B7" s="2" t="s">
        <v>145</v>
      </c>
      <c r="G7" s="37">
        <v>9298</v>
      </c>
      <c r="H7" s="37">
        <v>8423</v>
      </c>
      <c r="I7" s="6"/>
    </row>
    <row r="8" spans="2:18" x14ac:dyDescent="0.2">
      <c r="B8" t="s">
        <v>22</v>
      </c>
      <c r="G8" s="37">
        <v>2586</v>
      </c>
      <c r="H8" s="37">
        <v>-270</v>
      </c>
      <c r="I8" s="6"/>
    </row>
    <row r="9" spans="2:18" x14ac:dyDescent="0.2">
      <c r="B9" s="2" t="s">
        <v>2</v>
      </c>
      <c r="G9" s="37">
        <f>G7+G8</f>
        <v>11884</v>
      </c>
      <c r="H9" s="37">
        <f>H7+H8</f>
        <v>8153</v>
      </c>
      <c r="I9" s="6"/>
    </row>
    <row r="10" spans="2:18" x14ac:dyDescent="0.2">
      <c r="B10" t="s">
        <v>15</v>
      </c>
      <c r="G10" s="37">
        <v>-3718</v>
      </c>
      <c r="H10" s="37">
        <v>-3438</v>
      </c>
      <c r="I10" s="6"/>
      <c r="N10" s="36"/>
      <c r="P10" s="76"/>
    </row>
    <row r="11" spans="2:18" x14ac:dyDescent="0.2">
      <c r="B11" s="76" t="s">
        <v>213</v>
      </c>
      <c r="G11" s="37">
        <v>-9</v>
      </c>
      <c r="H11" s="37">
        <v>-2</v>
      </c>
      <c r="I11" s="6"/>
      <c r="N11" s="36"/>
    </row>
    <row r="12" spans="2:18" x14ac:dyDescent="0.2">
      <c r="B12" s="2" t="s">
        <v>3</v>
      </c>
      <c r="G12" s="37">
        <f>G9+G10+G11</f>
        <v>8157</v>
      </c>
      <c r="H12" s="37">
        <f>H9+H10+H11</f>
        <v>4713</v>
      </c>
      <c r="I12" s="6"/>
    </row>
    <row r="13" spans="2:18" x14ac:dyDescent="0.2">
      <c r="B13" t="s">
        <v>26</v>
      </c>
      <c r="G13" s="37">
        <f>G8</f>
        <v>2586</v>
      </c>
      <c r="H13" s="37">
        <f>H8</f>
        <v>-270</v>
      </c>
      <c r="I13" s="6"/>
    </row>
    <row r="14" spans="2:18" x14ac:dyDescent="0.2">
      <c r="B14" s="2" t="s">
        <v>20</v>
      </c>
      <c r="G14" s="37">
        <f>G11</f>
        <v>-9</v>
      </c>
      <c r="H14" s="37">
        <f>H11</f>
        <v>-2</v>
      </c>
      <c r="I14" s="6"/>
      <c r="N14" s="36"/>
    </row>
    <row r="15" spans="2:18" x14ac:dyDescent="0.2">
      <c r="B15" s="2" t="s">
        <v>21</v>
      </c>
      <c r="G15" s="37">
        <f>G12-G13-G14</f>
        <v>5580</v>
      </c>
      <c r="H15" s="37">
        <f>H12-H13-H14</f>
        <v>4985</v>
      </c>
      <c r="I15" s="6"/>
    </row>
    <row r="16" spans="2:18" x14ac:dyDescent="0.2">
      <c r="B16" s="76" t="s">
        <v>210</v>
      </c>
      <c r="G16" s="37">
        <f>G6</f>
        <v>0</v>
      </c>
      <c r="H16" s="37">
        <f>H6</f>
        <v>43</v>
      </c>
      <c r="I16" s="6"/>
    </row>
    <row r="17" spans="1:13" x14ac:dyDescent="0.2">
      <c r="B17" s="2" t="s">
        <v>144</v>
      </c>
      <c r="G17" s="37">
        <f>G15-G16</f>
        <v>5580</v>
      </c>
      <c r="H17" s="37">
        <f>H15-H16</f>
        <v>4942</v>
      </c>
      <c r="I17" s="6"/>
    </row>
    <row r="19" spans="1:13" s="76" customFormat="1" x14ac:dyDescent="0.2"/>
    <row r="20" spans="1:13" x14ac:dyDescent="0.2">
      <c r="B20" s="40" t="s">
        <v>141</v>
      </c>
    </row>
    <row r="21" spans="1:13" x14ac:dyDescent="0.2">
      <c r="B21" s="40"/>
    </row>
    <row r="22" spans="1:13" ht="15.75" x14ac:dyDescent="0.25">
      <c r="B22" s="4" t="s">
        <v>129</v>
      </c>
    </row>
    <row r="23" spans="1:13" ht="15.75" x14ac:dyDescent="0.25">
      <c r="B23" s="4"/>
    </row>
    <row r="24" spans="1:13" s="18" customFormat="1" x14ac:dyDescent="0.2">
      <c r="B24" s="49" t="s">
        <v>224</v>
      </c>
      <c r="C24" s="50"/>
      <c r="D24" s="50"/>
      <c r="E24" s="50"/>
      <c r="F24" s="50"/>
      <c r="G24" s="50"/>
      <c r="H24" s="50"/>
      <c r="I24" s="50"/>
      <c r="J24" s="50"/>
      <c r="K24" s="50"/>
      <c r="L24" s="50"/>
      <c r="M24" s="50"/>
    </row>
    <row r="25" spans="1:13" s="18" customFormat="1" x14ac:dyDescent="0.2">
      <c r="B25" s="49" t="s">
        <v>225</v>
      </c>
      <c r="C25" s="50"/>
      <c r="D25" s="50"/>
      <c r="E25" s="50"/>
      <c r="F25" s="50"/>
      <c r="G25" s="50"/>
      <c r="H25" s="50"/>
      <c r="I25" s="50"/>
      <c r="J25" s="50"/>
      <c r="K25" s="50"/>
      <c r="L25" s="50"/>
      <c r="M25" s="50"/>
    </row>
    <row r="26" spans="1:13" x14ac:dyDescent="0.2">
      <c r="B26" s="40"/>
    </row>
    <row r="27" spans="1:13" x14ac:dyDescent="0.2">
      <c r="A27" s="18"/>
      <c r="B27" s="46"/>
      <c r="C27" s="18"/>
      <c r="D27" s="18"/>
      <c r="E27" s="18"/>
      <c r="F27" s="18"/>
      <c r="G27" s="18"/>
      <c r="H27" s="18"/>
      <c r="I27" s="18"/>
      <c r="J27" s="18"/>
    </row>
    <row r="28" spans="1:13" ht="15.75" x14ac:dyDescent="0.25">
      <c r="A28" s="18"/>
      <c r="B28" s="17" t="s">
        <v>226</v>
      </c>
      <c r="C28" s="18"/>
      <c r="D28" s="47"/>
      <c r="E28" s="77"/>
      <c r="F28" s="18"/>
      <c r="G28" s="18"/>
      <c r="H28" s="18"/>
      <c r="I28" s="18"/>
      <c r="J28" s="18"/>
    </row>
    <row r="29" spans="1:13" s="18" customFormat="1" ht="15.75" x14ac:dyDescent="0.25">
      <c r="B29" s="17"/>
      <c r="D29" s="47"/>
    </row>
    <row r="30" spans="1:13" s="18" customFormat="1" x14ac:dyDescent="0.2">
      <c r="C30" s="77" t="s">
        <v>73</v>
      </c>
      <c r="F30" s="78" t="s">
        <v>72</v>
      </c>
      <c r="G30" s="77"/>
      <c r="J30" s="15"/>
    </row>
    <row r="31" spans="1:13" s="18" customFormat="1" x14ac:dyDescent="0.2">
      <c r="C31" s="77" t="s">
        <v>151</v>
      </c>
      <c r="F31" s="77" t="s">
        <v>211</v>
      </c>
      <c r="G31" s="77"/>
      <c r="J31" s="15"/>
    </row>
    <row r="32" spans="1:13" s="18" customFormat="1" x14ac:dyDescent="0.2">
      <c r="C32" s="77" t="s">
        <v>152</v>
      </c>
      <c r="F32" s="77" t="s">
        <v>212</v>
      </c>
      <c r="G32" s="77"/>
      <c r="J32" s="15"/>
    </row>
    <row r="33" spans="1:10" s="18" customFormat="1" x14ac:dyDescent="0.2">
      <c r="B33" s="46"/>
    </row>
    <row r="34" spans="1:10" s="18" customFormat="1" x14ac:dyDescent="0.2">
      <c r="B34" s="46" t="s">
        <v>219</v>
      </c>
    </row>
    <row r="35" spans="1:10" x14ac:dyDescent="0.2">
      <c r="A35" s="18"/>
      <c r="B35" s="18"/>
      <c r="C35" s="18"/>
      <c r="D35" s="18"/>
      <c r="E35" s="18"/>
      <c r="F35" s="18"/>
      <c r="G35" s="18"/>
      <c r="H35" s="18"/>
      <c r="I35" s="18"/>
      <c r="J35" s="18"/>
    </row>
    <row r="36" spans="1:10" x14ac:dyDescent="0.2">
      <c r="A36" s="18"/>
      <c r="B36" s="77" t="s">
        <v>227</v>
      </c>
      <c r="C36" s="18"/>
      <c r="D36" s="18"/>
      <c r="E36" s="18"/>
      <c r="F36" s="18"/>
      <c r="G36" s="18"/>
      <c r="H36" s="18"/>
      <c r="I36" s="18"/>
      <c r="J36" s="18"/>
    </row>
    <row r="37" spans="1:10" x14ac:dyDescent="0.2">
      <c r="F37" s="18"/>
      <c r="G37" s="18"/>
      <c r="H37" s="18"/>
      <c r="I37" s="18"/>
      <c r="J37" s="18"/>
    </row>
  </sheetData>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A2:R40"/>
  <sheetViews>
    <sheetView showGridLines="0" workbookViewId="0">
      <selection activeCell="G6" sqref="G6"/>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4" t="s">
        <v>208</v>
      </c>
    </row>
    <row r="3" spans="2:18" x14ac:dyDescent="0.2">
      <c r="B3" t="s">
        <v>4</v>
      </c>
      <c r="G3" s="1" t="s">
        <v>207</v>
      </c>
      <c r="H3" s="1" t="s">
        <v>175</v>
      </c>
      <c r="I3" s="1"/>
      <c r="P3" s="10"/>
      <c r="R3" s="10"/>
    </row>
    <row r="4" spans="2:18" x14ac:dyDescent="0.2">
      <c r="N4" s="36"/>
    </row>
    <row r="5" spans="2:18" x14ac:dyDescent="0.2">
      <c r="B5" s="2" t="s">
        <v>143</v>
      </c>
      <c r="G5" s="37">
        <f>G7-G6</f>
        <v>9018</v>
      </c>
      <c r="H5" s="37">
        <f>H7-H6</f>
        <v>8189</v>
      </c>
      <c r="I5" s="6"/>
    </row>
    <row r="6" spans="2:18" x14ac:dyDescent="0.2">
      <c r="B6" s="76" t="s">
        <v>209</v>
      </c>
      <c r="G6" s="38">
        <f>56-55-26</f>
        <v>-25</v>
      </c>
      <c r="H6" s="38">
        <f>54-55+15</f>
        <v>14</v>
      </c>
      <c r="I6" s="7"/>
    </row>
    <row r="7" spans="2:18" x14ac:dyDescent="0.2">
      <c r="B7" s="2" t="s">
        <v>145</v>
      </c>
      <c r="G7" s="37">
        <v>8993</v>
      </c>
      <c r="H7" s="37">
        <v>8203</v>
      </c>
      <c r="I7" s="6"/>
    </row>
    <row r="8" spans="2:18" x14ac:dyDescent="0.2">
      <c r="B8" t="s">
        <v>22</v>
      </c>
      <c r="G8" s="37">
        <v>-165</v>
      </c>
      <c r="H8" s="37">
        <v>-277</v>
      </c>
      <c r="I8" s="6"/>
    </row>
    <row r="9" spans="2:18" x14ac:dyDescent="0.2">
      <c r="B9" s="2" t="s">
        <v>2</v>
      </c>
      <c r="G9" s="37">
        <f>G7+G8</f>
        <v>8828</v>
      </c>
      <c r="H9" s="37">
        <f>H7+H8</f>
        <v>7926</v>
      </c>
      <c r="I9" s="6"/>
    </row>
    <row r="10" spans="2:18" x14ac:dyDescent="0.2">
      <c r="B10" t="s">
        <v>15</v>
      </c>
      <c r="G10" s="37">
        <v>-3564</v>
      </c>
      <c r="H10" s="37">
        <v>-3681</v>
      </c>
      <c r="I10" s="6"/>
      <c r="N10" s="36"/>
      <c r="P10" s="10"/>
    </row>
    <row r="11" spans="2:18" x14ac:dyDescent="0.2">
      <c r="B11" s="76" t="s">
        <v>213</v>
      </c>
      <c r="G11" s="37">
        <v>-26</v>
      </c>
      <c r="H11" s="37">
        <v>-3960</v>
      </c>
      <c r="I11" s="6"/>
      <c r="N11" s="36"/>
    </row>
    <row r="12" spans="2:18" x14ac:dyDescent="0.2">
      <c r="B12" s="2" t="s">
        <v>3</v>
      </c>
      <c r="G12" s="37">
        <f>G9+G10+G11</f>
        <v>5238</v>
      </c>
      <c r="H12" s="37">
        <f>H9+H10+H11</f>
        <v>285</v>
      </c>
      <c r="I12" s="6"/>
    </row>
    <row r="13" spans="2:18" x14ac:dyDescent="0.2">
      <c r="B13" t="s">
        <v>26</v>
      </c>
      <c r="G13" s="37">
        <f>G8</f>
        <v>-165</v>
      </c>
      <c r="H13" s="37">
        <f>H8</f>
        <v>-277</v>
      </c>
      <c r="I13" s="6"/>
    </row>
    <row r="14" spans="2:18" x14ac:dyDescent="0.2">
      <c r="B14" s="2" t="s">
        <v>20</v>
      </c>
      <c r="G14" s="37">
        <f>G11</f>
        <v>-26</v>
      </c>
      <c r="H14" s="37">
        <f>H11</f>
        <v>-3960</v>
      </c>
      <c r="I14" s="6"/>
      <c r="N14" s="36"/>
    </row>
    <row r="15" spans="2:18" x14ac:dyDescent="0.2">
      <c r="B15" s="2" t="s">
        <v>21</v>
      </c>
      <c r="G15" s="37">
        <f>G12-G13-G14</f>
        <v>5429</v>
      </c>
      <c r="H15" s="37">
        <f>H12-H13-H14</f>
        <v>4522</v>
      </c>
      <c r="I15" s="6"/>
    </row>
    <row r="16" spans="2:18" x14ac:dyDescent="0.2">
      <c r="B16" s="76" t="s">
        <v>210</v>
      </c>
      <c r="G16" s="37">
        <f>G6</f>
        <v>-25</v>
      </c>
      <c r="H16" s="37">
        <f>H6</f>
        <v>14</v>
      </c>
      <c r="I16" s="6"/>
    </row>
    <row r="17" spans="1:13" x14ac:dyDescent="0.2">
      <c r="B17" s="2" t="s">
        <v>144</v>
      </c>
      <c r="G17" s="37">
        <f>G15-G16</f>
        <v>5454</v>
      </c>
      <c r="H17" s="37">
        <f>H15-H16</f>
        <v>4508</v>
      </c>
      <c r="I17" s="6"/>
    </row>
    <row r="19" spans="1:13" s="10" customFormat="1" x14ac:dyDescent="0.2"/>
    <row r="20" spans="1:13" x14ac:dyDescent="0.2">
      <c r="B20" s="40" t="s">
        <v>141</v>
      </c>
    </row>
    <row r="21" spans="1:13" x14ac:dyDescent="0.2">
      <c r="B21" s="40"/>
    </row>
    <row r="22" spans="1:13" ht="15.75" x14ac:dyDescent="0.25">
      <c r="B22" s="4" t="s">
        <v>129</v>
      </c>
    </row>
    <row r="23" spans="1:13" ht="15.75" x14ac:dyDescent="0.25">
      <c r="B23" s="4"/>
    </row>
    <row r="24" spans="1:13" s="18" customFormat="1" x14ac:dyDescent="0.2">
      <c r="B24" s="49" t="s">
        <v>216</v>
      </c>
      <c r="C24" s="50"/>
      <c r="D24" s="50"/>
      <c r="E24" s="50"/>
      <c r="F24" s="50"/>
      <c r="G24" s="50"/>
      <c r="H24" s="50"/>
      <c r="I24" s="50"/>
      <c r="J24" s="50"/>
      <c r="K24" s="50"/>
      <c r="L24" s="50"/>
      <c r="M24" s="50"/>
    </row>
    <row r="25" spans="1:13" s="18" customFormat="1" x14ac:dyDescent="0.2">
      <c r="B25" s="49" t="s">
        <v>217</v>
      </c>
      <c r="C25" s="50"/>
      <c r="D25" s="50"/>
      <c r="E25" s="50"/>
      <c r="F25" s="50"/>
      <c r="G25" s="50"/>
      <c r="H25" s="50"/>
      <c r="I25" s="50"/>
      <c r="J25" s="50"/>
      <c r="K25" s="50"/>
      <c r="L25" s="50"/>
      <c r="M25" s="50"/>
    </row>
    <row r="26" spans="1:13" x14ac:dyDescent="0.2">
      <c r="A26" s="18"/>
      <c r="B26" s="49" t="s">
        <v>220</v>
      </c>
      <c r="C26" s="50"/>
      <c r="D26" s="50"/>
      <c r="E26" s="50"/>
      <c r="F26" s="50"/>
      <c r="G26" s="50"/>
      <c r="H26" s="50"/>
      <c r="I26" s="50"/>
      <c r="J26" s="50"/>
      <c r="K26" s="48"/>
      <c r="L26" s="48"/>
      <c r="M26" s="48"/>
    </row>
    <row r="27" spans="1:13" x14ac:dyDescent="0.2">
      <c r="A27" s="18"/>
      <c r="B27" s="49" t="s">
        <v>221</v>
      </c>
      <c r="C27" s="50"/>
      <c r="D27" s="50"/>
      <c r="E27" s="50"/>
      <c r="F27" s="50"/>
      <c r="G27" s="50"/>
      <c r="H27" s="50"/>
      <c r="I27" s="50"/>
      <c r="J27" s="50"/>
      <c r="K27" s="48"/>
      <c r="L27" s="48"/>
      <c r="M27" s="48"/>
    </row>
    <row r="28" spans="1:13" s="18" customFormat="1" x14ac:dyDescent="0.2">
      <c r="B28" s="49" t="s">
        <v>215</v>
      </c>
      <c r="C28" s="50"/>
      <c r="D28" s="50"/>
      <c r="E28" s="50"/>
      <c r="F28" s="50"/>
      <c r="G28" s="50"/>
      <c r="H28" s="50"/>
      <c r="I28" s="50"/>
      <c r="J28" s="50"/>
      <c r="K28" s="50"/>
      <c r="L28" s="50"/>
      <c r="M28" s="50"/>
    </row>
    <row r="29" spans="1:13" x14ac:dyDescent="0.2">
      <c r="B29" s="40"/>
    </row>
    <row r="30" spans="1:13" x14ac:dyDescent="0.2">
      <c r="A30" s="18"/>
      <c r="B30" s="46"/>
      <c r="C30" s="18"/>
      <c r="D30" s="18"/>
      <c r="E30" s="18"/>
      <c r="F30" s="18"/>
      <c r="G30" s="18"/>
      <c r="H30" s="18"/>
      <c r="I30" s="18"/>
      <c r="J30" s="18"/>
    </row>
    <row r="31" spans="1:13" ht="15.75" x14ac:dyDescent="0.25">
      <c r="A31" s="18"/>
      <c r="B31" s="17" t="s">
        <v>218</v>
      </c>
      <c r="C31" s="18"/>
      <c r="D31" s="47"/>
      <c r="E31" s="13"/>
      <c r="F31" s="18"/>
      <c r="G31" s="18"/>
      <c r="H31" s="18"/>
      <c r="I31" s="18"/>
      <c r="J31" s="18"/>
    </row>
    <row r="32" spans="1:13" s="18" customFormat="1" ht="15.75" x14ac:dyDescent="0.25">
      <c r="B32" s="17"/>
      <c r="D32" s="47"/>
    </row>
    <row r="33" spans="1:10" s="18" customFormat="1" x14ac:dyDescent="0.2">
      <c r="C33" s="13" t="s">
        <v>73</v>
      </c>
      <c r="F33" s="78" t="s">
        <v>72</v>
      </c>
      <c r="G33" s="13"/>
      <c r="J33" s="15"/>
    </row>
    <row r="34" spans="1:10" s="18" customFormat="1" x14ac:dyDescent="0.2">
      <c r="C34" s="13" t="s">
        <v>151</v>
      </c>
      <c r="F34" s="77" t="s">
        <v>211</v>
      </c>
      <c r="G34" s="13"/>
      <c r="J34" s="15"/>
    </row>
    <row r="35" spans="1:10" s="18" customFormat="1" x14ac:dyDescent="0.2">
      <c r="C35" s="13" t="s">
        <v>152</v>
      </c>
      <c r="F35" s="77" t="s">
        <v>212</v>
      </c>
      <c r="G35" s="13"/>
      <c r="J35" s="15"/>
    </row>
    <row r="36" spans="1:10" s="18" customFormat="1" x14ac:dyDescent="0.2">
      <c r="B36" s="46"/>
    </row>
    <row r="37" spans="1:10" s="18" customFormat="1" x14ac:dyDescent="0.2">
      <c r="B37" s="46" t="s">
        <v>219</v>
      </c>
    </row>
    <row r="38" spans="1:10" x14ac:dyDescent="0.2">
      <c r="A38" s="18"/>
      <c r="B38" s="18"/>
      <c r="C38" s="18"/>
      <c r="D38" s="18"/>
      <c r="E38" s="18"/>
      <c r="F38" s="18"/>
      <c r="G38" s="18"/>
      <c r="H38" s="18"/>
      <c r="I38" s="18"/>
      <c r="J38" s="18"/>
    </row>
    <row r="39" spans="1:10" x14ac:dyDescent="0.2">
      <c r="A39" s="18"/>
      <c r="B39" s="77" t="s">
        <v>214</v>
      </c>
      <c r="C39" s="18"/>
      <c r="D39" s="18"/>
      <c r="E39" s="18"/>
      <c r="F39" s="18"/>
      <c r="G39" s="18"/>
      <c r="H39" s="18"/>
      <c r="I39" s="18"/>
      <c r="J39" s="18"/>
    </row>
    <row r="40" spans="1:10" x14ac:dyDescent="0.2">
      <c r="F40" s="18"/>
      <c r="G40" s="18"/>
      <c r="H40" s="18"/>
      <c r="I40" s="18"/>
      <c r="J40" s="18"/>
    </row>
  </sheetData>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B2:R32"/>
  <sheetViews>
    <sheetView showGridLines="0" workbookViewId="0">
      <selection activeCell="B31" sqref="B31"/>
    </sheetView>
  </sheetViews>
  <sheetFormatPr defaultColWidth="9.140625" defaultRowHeight="12.75" x14ac:dyDescent="0.2"/>
  <cols>
    <col min="1" max="1" width="3.42578125" style="51" customWidth="1"/>
    <col min="2" max="2" width="9.140625" style="51" customWidth="1"/>
    <col min="3" max="5" width="9.140625" style="51"/>
    <col min="6" max="6" width="10.5703125" style="51" customWidth="1"/>
    <col min="7" max="7" width="9.140625" style="51"/>
    <col min="8" max="8" width="9.85546875" style="51" bestFit="1" customWidth="1"/>
    <col min="9" max="9" width="14.140625" style="51" customWidth="1"/>
    <col min="10" max="10" width="18.28515625" style="51" customWidth="1"/>
    <col min="11" max="12" width="9.140625" style="51"/>
    <col min="13" max="13" width="8.140625" style="51" customWidth="1"/>
    <col min="14" max="15" width="9.140625" style="51"/>
    <col min="16" max="16" width="6.42578125" style="51" customWidth="1"/>
    <col min="17" max="16384" width="9.140625" style="51"/>
  </cols>
  <sheetData>
    <row r="2" spans="2:18" ht="15.75" x14ac:dyDescent="0.25">
      <c r="B2" s="62" t="s">
        <v>197</v>
      </c>
    </row>
    <row r="3" spans="2:18" x14ac:dyDescent="0.2">
      <c r="B3" s="51" t="s">
        <v>4</v>
      </c>
      <c r="G3" s="68" t="s">
        <v>198</v>
      </c>
      <c r="H3" s="68" t="s">
        <v>166</v>
      </c>
      <c r="I3" s="68"/>
      <c r="J3" s="53"/>
      <c r="P3" s="57"/>
      <c r="R3" s="57"/>
    </row>
    <row r="4" spans="2:18" x14ac:dyDescent="0.2">
      <c r="N4" s="61"/>
    </row>
    <row r="5" spans="2:18" x14ac:dyDescent="0.2">
      <c r="B5" s="52" t="s">
        <v>143</v>
      </c>
      <c r="G5" s="37">
        <f>G7-G6</f>
        <v>9619</v>
      </c>
      <c r="H5" s="37">
        <f>H7-H6</f>
        <v>8868</v>
      </c>
      <c r="I5" s="64"/>
    </row>
    <row r="6" spans="2:18" x14ac:dyDescent="0.2">
      <c r="B6" s="71" t="s">
        <v>27</v>
      </c>
      <c r="G6" s="69"/>
      <c r="H6" s="38">
        <f>-33-15</f>
        <v>-48</v>
      </c>
      <c r="I6" s="66"/>
    </row>
    <row r="7" spans="2:18" x14ac:dyDescent="0.2">
      <c r="B7" s="52" t="s">
        <v>145</v>
      </c>
      <c r="G7" s="65">
        <v>9619</v>
      </c>
      <c r="H7" s="37">
        <v>8820</v>
      </c>
      <c r="I7" s="64"/>
    </row>
    <row r="8" spans="2:18" x14ac:dyDescent="0.2">
      <c r="B8" s="51" t="s">
        <v>22</v>
      </c>
      <c r="G8" s="65">
        <v>-154</v>
      </c>
      <c r="H8" s="37">
        <f>-59-40-126-45</f>
        <v>-270</v>
      </c>
      <c r="I8" s="64"/>
    </row>
    <row r="9" spans="2:18" x14ac:dyDescent="0.2">
      <c r="B9" s="52" t="s">
        <v>2</v>
      </c>
      <c r="G9" s="65">
        <f>G7+G8</f>
        <v>9465</v>
      </c>
      <c r="H9" s="37">
        <v>8549</v>
      </c>
      <c r="I9" s="64"/>
    </row>
    <row r="10" spans="2:18" x14ac:dyDescent="0.2">
      <c r="B10" s="51" t="s">
        <v>15</v>
      </c>
      <c r="G10" s="65">
        <v>-3337</v>
      </c>
      <c r="H10" s="37">
        <v>-3430</v>
      </c>
      <c r="I10" s="64"/>
      <c r="N10" s="61"/>
      <c r="P10" s="57"/>
    </row>
    <row r="11" spans="2:18" x14ac:dyDescent="0.2">
      <c r="B11" s="57" t="s">
        <v>136</v>
      </c>
      <c r="G11" s="65">
        <v>-122</v>
      </c>
      <c r="H11" s="37">
        <v>-1</v>
      </c>
      <c r="I11" s="64"/>
      <c r="N11" s="61"/>
    </row>
    <row r="12" spans="2:18" x14ac:dyDescent="0.2">
      <c r="B12" s="52" t="s">
        <v>3</v>
      </c>
      <c r="G12" s="65">
        <f>G9+G10+G11</f>
        <v>6006</v>
      </c>
      <c r="H12" s="37">
        <v>5119</v>
      </c>
      <c r="I12" s="64"/>
    </row>
    <row r="13" spans="2:18" x14ac:dyDescent="0.2">
      <c r="B13" s="51" t="s">
        <v>26</v>
      </c>
      <c r="G13" s="65">
        <f>G8</f>
        <v>-154</v>
      </c>
      <c r="H13" s="37">
        <f>H8</f>
        <v>-270</v>
      </c>
      <c r="I13" s="64"/>
    </row>
    <row r="14" spans="2:18" x14ac:dyDescent="0.2">
      <c r="B14" s="52" t="s">
        <v>20</v>
      </c>
      <c r="G14" s="65">
        <f>G11</f>
        <v>-122</v>
      </c>
      <c r="H14" s="37">
        <f>H11</f>
        <v>-1</v>
      </c>
      <c r="I14" s="64"/>
    </row>
    <row r="15" spans="2:18" x14ac:dyDescent="0.2">
      <c r="B15" s="52" t="s">
        <v>21</v>
      </c>
      <c r="G15" s="65">
        <f>G12-G13-G14</f>
        <v>6282</v>
      </c>
      <c r="H15" s="37">
        <f>H12-H13-H14</f>
        <v>5390</v>
      </c>
      <c r="I15" s="64"/>
    </row>
    <row r="16" spans="2:18" x14ac:dyDescent="0.2">
      <c r="B16" s="51" t="s">
        <v>28</v>
      </c>
      <c r="G16" s="65">
        <f>G6</f>
        <v>0</v>
      </c>
      <c r="H16" s="37">
        <f>H6</f>
        <v>-48</v>
      </c>
      <c r="I16" s="64"/>
    </row>
    <row r="17" spans="2:10" x14ac:dyDescent="0.2">
      <c r="B17" s="52" t="s">
        <v>144</v>
      </c>
      <c r="G17" s="65">
        <f>G15-G16</f>
        <v>6282</v>
      </c>
      <c r="H17" s="37">
        <f>H15-H16</f>
        <v>5438</v>
      </c>
      <c r="I17" s="64"/>
    </row>
    <row r="19" spans="2:10" x14ac:dyDescent="0.2">
      <c r="B19" s="63" t="s">
        <v>141</v>
      </c>
    </row>
    <row r="20" spans="2:10" x14ac:dyDescent="0.2">
      <c r="B20" s="63"/>
    </row>
    <row r="21" spans="2:10" ht="15.75" x14ac:dyDescent="0.25">
      <c r="B21" s="62" t="s">
        <v>129</v>
      </c>
    </row>
    <row r="22" spans="2:10" x14ac:dyDescent="0.2">
      <c r="B22" s="63"/>
    </row>
    <row r="23" spans="2:10" x14ac:dyDescent="0.2">
      <c r="B23" s="72" t="s">
        <v>203</v>
      </c>
    </row>
    <row r="24" spans="2:10" x14ac:dyDescent="0.2">
      <c r="B24" s="72" t="s">
        <v>204</v>
      </c>
    </row>
    <row r="25" spans="2:10" x14ac:dyDescent="0.2">
      <c r="B25" s="63"/>
    </row>
    <row r="26" spans="2:10" ht="15.75" x14ac:dyDescent="0.25">
      <c r="B26" s="62" t="s">
        <v>199</v>
      </c>
      <c r="D26" s="61"/>
    </row>
    <row r="27" spans="2:10" x14ac:dyDescent="0.2">
      <c r="I27" s="187"/>
      <c r="J27" s="187"/>
    </row>
    <row r="28" spans="2:10" x14ac:dyDescent="0.2">
      <c r="C28" s="57" t="s">
        <v>73</v>
      </c>
      <c r="F28" s="73" t="s">
        <v>205</v>
      </c>
      <c r="G28" s="70" t="s">
        <v>200</v>
      </c>
      <c r="H28" s="56"/>
      <c r="I28" s="56"/>
      <c r="J28" s="56"/>
    </row>
    <row r="29" spans="2:10" x14ac:dyDescent="0.2">
      <c r="C29" s="57" t="s">
        <v>151</v>
      </c>
      <c r="F29" s="59" t="s">
        <v>178</v>
      </c>
      <c r="G29" s="75" t="s">
        <v>202</v>
      </c>
      <c r="H29" s="56"/>
      <c r="I29" s="56"/>
      <c r="J29" s="58"/>
    </row>
    <row r="30" spans="2:10" x14ac:dyDescent="0.2">
      <c r="C30" s="57" t="s">
        <v>152</v>
      </c>
      <c r="F30" s="74" t="s">
        <v>206</v>
      </c>
      <c r="G30" s="70" t="s">
        <v>201</v>
      </c>
      <c r="H30" s="56"/>
      <c r="I30" s="56"/>
      <c r="J30" s="58"/>
    </row>
    <row r="31" spans="2:10" x14ac:dyDescent="0.2">
      <c r="F31" s="57"/>
      <c r="G31" s="57"/>
      <c r="H31" s="56"/>
      <c r="I31" s="56"/>
      <c r="J31" s="55"/>
    </row>
    <row r="32" spans="2:10" s="52" customFormat="1" x14ac:dyDescent="0.2">
      <c r="B32" s="54" t="s">
        <v>148</v>
      </c>
      <c r="D32" s="53"/>
      <c r="F32" s="51"/>
    </row>
  </sheetData>
  <mergeCells count="1">
    <mergeCell ref="I27:J27"/>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B2:R32"/>
  <sheetViews>
    <sheetView showGridLines="0" workbookViewId="0">
      <selection activeCell="K19" sqref="K19"/>
    </sheetView>
  </sheetViews>
  <sheetFormatPr defaultColWidth="9.140625" defaultRowHeight="12.75" x14ac:dyDescent="0.2"/>
  <cols>
    <col min="1" max="1" width="3.42578125" style="51" customWidth="1"/>
    <col min="2" max="2" width="9.140625" style="51" customWidth="1"/>
    <col min="3" max="5" width="9.140625" style="51"/>
    <col min="6" max="6" width="8.42578125" style="51" customWidth="1"/>
    <col min="7" max="7" width="9.140625" style="51"/>
    <col min="8" max="8" width="9.85546875" style="51" bestFit="1" customWidth="1"/>
    <col min="9" max="9" width="14.140625" style="51" customWidth="1"/>
    <col min="10" max="10" width="18.28515625" style="51" customWidth="1"/>
    <col min="11" max="12" width="9.140625" style="51"/>
    <col min="13" max="13" width="8.140625" style="51" customWidth="1"/>
    <col min="14" max="15" width="9.140625" style="51"/>
    <col min="16" max="16" width="6.42578125" style="51" customWidth="1"/>
    <col min="17" max="16384" width="9.140625" style="51"/>
  </cols>
  <sheetData>
    <row r="2" spans="2:18" ht="15.75" x14ac:dyDescent="0.25">
      <c r="B2" s="62" t="s">
        <v>192</v>
      </c>
    </row>
    <row r="3" spans="2:18" x14ac:dyDescent="0.2">
      <c r="B3" s="51" t="s">
        <v>4</v>
      </c>
      <c r="G3" s="68" t="s">
        <v>193</v>
      </c>
      <c r="H3" s="68" t="s">
        <v>153</v>
      </c>
      <c r="I3" s="68"/>
      <c r="J3" s="53"/>
      <c r="P3" s="57"/>
      <c r="R3" s="57"/>
    </row>
    <row r="4" spans="2:18" x14ac:dyDescent="0.2">
      <c r="N4" s="61"/>
    </row>
    <row r="5" spans="2:18" x14ac:dyDescent="0.2">
      <c r="B5" s="52" t="s">
        <v>143</v>
      </c>
      <c r="G5" s="37">
        <f>G7-G6</f>
        <v>8857</v>
      </c>
      <c r="H5" s="37">
        <f>H7-H6</f>
        <v>8135</v>
      </c>
      <c r="I5" s="64"/>
    </row>
    <row r="6" spans="2:18" x14ac:dyDescent="0.2">
      <c r="B6" s="71" t="s">
        <v>27</v>
      </c>
      <c r="G6" s="69">
        <v>0</v>
      </c>
      <c r="H6" s="38">
        <f>-41-104+74</f>
        <v>-71</v>
      </c>
      <c r="I6" s="66"/>
    </row>
    <row r="7" spans="2:18" x14ac:dyDescent="0.2">
      <c r="B7" s="52" t="s">
        <v>145</v>
      </c>
      <c r="G7" s="65">
        <v>8857</v>
      </c>
      <c r="H7" s="37">
        <v>8064</v>
      </c>
      <c r="I7" s="64"/>
    </row>
    <row r="8" spans="2:18" x14ac:dyDescent="0.2">
      <c r="B8" s="51" t="s">
        <v>22</v>
      </c>
      <c r="G8" s="65">
        <v>-94</v>
      </c>
      <c r="H8" s="37">
        <f>-47-89-41-22</f>
        <v>-199</v>
      </c>
      <c r="I8" s="64"/>
    </row>
    <row r="9" spans="2:18" x14ac:dyDescent="0.2">
      <c r="B9" s="52" t="s">
        <v>2</v>
      </c>
      <c r="G9" s="65">
        <f>G7+G8</f>
        <v>8763</v>
      </c>
      <c r="H9" s="37">
        <f>H7+H8</f>
        <v>7865</v>
      </c>
      <c r="I9" s="64"/>
    </row>
    <row r="10" spans="2:18" x14ac:dyDescent="0.2">
      <c r="B10" s="51" t="s">
        <v>15</v>
      </c>
      <c r="G10" s="65">
        <v>-3391</v>
      </c>
      <c r="H10" s="37">
        <v>-3556</v>
      </c>
      <c r="I10" s="64"/>
      <c r="N10" s="61"/>
      <c r="P10" s="57"/>
    </row>
    <row r="11" spans="2:18" x14ac:dyDescent="0.2">
      <c r="B11" s="57" t="s">
        <v>136</v>
      </c>
      <c r="G11" s="65">
        <v>0</v>
      </c>
      <c r="H11" s="37">
        <v>0</v>
      </c>
      <c r="I11" s="64"/>
      <c r="N11" s="61"/>
    </row>
    <row r="12" spans="2:18" x14ac:dyDescent="0.2">
      <c r="B12" s="52" t="s">
        <v>3</v>
      </c>
      <c r="G12" s="65">
        <f>G9+G10+G11</f>
        <v>5372</v>
      </c>
      <c r="H12" s="37">
        <f>H9+H10+H11</f>
        <v>4309</v>
      </c>
      <c r="I12" s="64"/>
    </row>
    <row r="13" spans="2:18" x14ac:dyDescent="0.2">
      <c r="B13" s="51" t="s">
        <v>26</v>
      </c>
      <c r="G13" s="65">
        <f>G8</f>
        <v>-94</v>
      </c>
      <c r="H13" s="37">
        <f>H8</f>
        <v>-199</v>
      </c>
      <c r="I13" s="64"/>
    </row>
    <row r="14" spans="2:18" x14ac:dyDescent="0.2">
      <c r="B14" s="52" t="s">
        <v>20</v>
      </c>
      <c r="G14" s="65">
        <f>G11</f>
        <v>0</v>
      </c>
      <c r="H14" s="37">
        <f>H11</f>
        <v>0</v>
      </c>
      <c r="I14" s="64"/>
    </row>
    <row r="15" spans="2:18" x14ac:dyDescent="0.2">
      <c r="B15" s="52" t="s">
        <v>21</v>
      </c>
      <c r="G15" s="65">
        <f>G12-G13-G14</f>
        <v>5466</v>
      </c>
      <c r="H15" s="37">
        <f>H12-H13-H14</f>
        <v>4508</v>
      </c>
      <c r="I15" s="64"/>
    </row>
    <row r="16" spans="2:18" x14ac:dyDescent="0.2">
      <c r="B16" s="51" t="s">
        <v>28</v>
      </c>
      <c r="G16" s="65">
        <f>G6</f>
        <v>0</v>
      </c>
      <c r="H16" s="37">
        <f>H6</f>
        <v>-71</v>
      </c>
      <c r="I16" s="64"/>
    </row>
    <row r="17" spans="2:10" x14ac:dyDescent="0.2">
      <c r="B17" s="52" t="s">
        <v>144</v>
      </c>
      <c r="G17" s="65">
        <f>G15-G16</f>
        <v>5466</v>
      </c>
      <c r="H17" s="37">
        <f>H15-H16</f>
        <v>4579</v>
      </c>
      <c r="I17" s="64"/>
    </row>
    <row r="19" spans="2:10" x14ac:dyDescent="0.2">
      <c r="B19" s="63" t="s">
        <v>141</v>
      </c>
    </row>
    <row r="20" spans="2:10" x14ac:dyDescent="0.2">
      <c r="B20" s="63"/>
    </row>
    <row r="21" spans="2:10" ht="15.75" x14ac:dyDescent="0.25">
      <c r="B21" s="62" t="s">
        <v>129</v>
      </c>
    </row>
    <row r="22" spans="2:10" x14ac:dyDescent="0.2">
      <c r="B22" s="63"/>
    </row>
    <row r="23" spans="2:10" x14ac:dyDescent="0.2">
      <c r="B23" s="72" t="s">
        <v>194</v>
      </c>
    </row>
    <row r="24" spans="2:10" x14ac:dyDescent="0.2">
      <c r="B24" s="72" t="s">
        <v>196</v>
      </c>
    </row>
    <row r="25" spans="2:10" x14ac:dyDescent="0.2">
      <c r="B25" s="63"/>
    </row>
    <row r="26" spans="2:10" ht="15.75" x14ac:dyDescent="0.25">
      <c r="B26" s="62" t="s">
        <v>195</v>
      </c>
      <c r="D26" s="61"/>
    </row>
    <row r="27" spans="2:10" x14ac:dyDescent="0.2">
      <c r="I27" s="187"/>
      <c r="J27" s="187"/>
    </row>
    <row r="28" spans="2:10" x14ac:dyDescent="0.2">
      <c r="C28" s="57" t="s">
        <v>73</v>
      </c>
      <c r="F28" s="60" t="s">
        <v>187</v>
      </c>
      <c r="G28" s="70"/>
      <c r="H28" s="56"/>
      <c r="I28" s="56"/>
      <c r="J28" s="56"/>
    </row>
    <row r="29" spans="2:10" x14ac:dyDescent="0.2">
      <c r="C29" s="57" t="s">
        <v>151</v>
      </c>
      <c r="F29" s="59" t="s">
        <v>178</v>
      </c>
      <c r="G29" s="57"/>
      <c r="H29" s="56"/>
      <c r="I29" s="56"/>
      <c r="J29" s="58"/>
    </row>
    <row r="30" spans="2:10" x14ac:dyDescent="0.2">
      <c r="C30" s="57" t="s">
        <v>152</v>
      </c>
      <c r="F30" s="59" t="s">
        <v>189</v>
      </c>
      <c r="G30" s="57"/>
      <c r="H30" s="56"/>
      <c r="I30" s="56"/>
      <c r="J30" s="58"/>
    </row>
    <row r="31" spans="2:10" x14ac:dyDescent="0.2">
      <c r="F31" s="57"/>
      <c r="G31" s="57"/>
      <c r="H31" s="56"/>
      <c r="I31" s="56"/>
      <c r="J31" s="55"/>
    </row>
    <row r="32" spans="2:10" s="52" customFormat="1" x14ac:dyDescent="0.2">
      <c r="B32" s="54" t="s">
        <v>148</v>
      </c>
      <c r="D32" s="53"/>
      <c r="F32" s="51"/>
    </row>
  </sheetData>
  <mergeCells count="1">
    <mergeCell ref="I27:J27"/>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B2:R34"/>
  <sheetViews>
    <sheetView showGridLines="0" workbookViewId="0">
      <selection activeCell="O8" sqref="O8"/>
    </sheetView>
  </sheetViews>
  <sheetFormatPr defaultColWidth="9.140625" defaultRowHeight="12.75" x14ac:dyDescent="0.2"/>
  <cols>
    <col min="1" max="1" width="3.42578125" style="51" customWidth="1"/>
    <col min="2" max="2" width="9.140625" style="51" customWidth="1"/>
    <col min="3" max="5" width="9.140625" style="51"/>
    <col min="6" max="6" width="8.42578125" style="51" customWidth="1"/>
    <col min="7" max="7" width="9.140625" style="51"/>
    <col min="8" max="8" width="9.85546875" style="51" bestFit="1" customWidth="1"/>
    <col min="9" max="9" width="14.140625" style="51" customWidth="1"/>
    <col min="10" max="10" width="18.28515625" style="51" customWidth="1"/>
    <col min="11" max="12" width="9.140625" style="51"/>
    <col min="13" max="13" width="8.140625" style="51" customWidth="1"/>
    <col min="14" max="15" width="9.140625" style="51"/>
    <col min="16" max="16" width="6.42578125" style="51" customWidth="1"/>
    <col min="17" max="16384" width="9.140625" style="51"/>
  </cols>
  <sheetData>
    <row r="2" spans="2:18" ht="15.75" x14ac:dyDescent="0.25">
      <c r="B2" s="62" t="s">
        <v>186</v>
      </c>
    </row>
    <row r="3" spans="2:18" x14ac:dyDescent="0.2">
      <c r="B3" s="51" t="s">
        <v>4</v>
      </c>
      <c r="G3" s="68" t="s">
        <v>185</v>
      </c>
      <c r="H3" s="68" t="s">
        <v>134</v>
      </c>
      <c r="I3" s="68"/>
      <c r="P3" s="57"/>
      <c r="R3" s="57"/>
    </row>
    <row r="4" spans="2:18" x14ac:dyDescent="0.2">
      <c r="N4" s="61"/>
    </row>
    <row r="5" spans="2:18" x14ac:dyDescent="0.2">
      <c r="B5" s="52" t="s">
        <v>143</v>
      </c>
      <c r="G5" s="37">
        <f>G7-G6</f>
        <v>8380</v>
      </c>
      <c r="H5" s="37">
        <f>H7-H6</f>
        <v>7761</v>
      </c>
      <c r="I5" s="64"/>
    </row>
    <row r="6" spans="2:18" x14ac:dyDescent="0.2">
      <c r="B6" s="51" t="s">
        <v>27</v>
      </c>
      <c r="G6" s="69">
        <f>43</f>
        <v>43</v>
      </c>
      <c r="H6" s="67">
        <v>0</v>
      </c>
      <c r="I6" s="66"/>
    </row>
    <row r="7" spans="2:18" x14ac:dyDescent="0.2">
      <c r="B7" s="52" t="s">
        <v>145</v>
      </c>
      <c r="G7" s="65">
        <v>8423</v>
      </c>
      <c r="H7" s="65">
        <v>7761</v>
      </c>
      <c r="I7" s="64"/>
    </row>
    <row r="8" spans="2:18" x14ac:dyDescent="0.2">
      <c r="B8" s="51" t="s">
        <v>22</v>
      </c>
      <c r="G8" s="65">
        <v>-270</v>
      </c>
      <c r="H8" s="65">
        <v>-121</v>
      </c>
      <c r="I8" s="64"/>
    </row>
    <row r="9" spans="2:18" x14ac:dyDescent="0.2">
      <c r="B9" s="52" t="s">
        <v>2</v>
      </c>
      <c r="G9" s="65">
        <v>8153</v>
      </c>
      <c r="H9" s="65">
        <f>H7+H8</f>
        <v>7640</v>
      </c>
      <c r="I9" s="64"/>
    </row>
    <row r="10" spans="2:18" x14ac:dyDescent="0.2">
      <c r="B10" s="51" t="s">
        <v>15</v>
      </c>
      <c r="G10" s="65">
        <v>-3438</v>
      </c>
      <c r="H10" s="65">
        <v>-3736</v>
      </c>
      <c r="I10" s="64"/>
      <c r="N10" s="61"/>
      <c r="P10" s="57"/>
    </row>
    <row r="11" spans="2:18" x14ac:dyDescent="0.2">
      <c r="B11" s="57" t="s">
        <v>136</v>
      </c>
      <c r="G11" s="65">
        <v>-2</v>
      </c>
      <c r="H11" s="65">
        <v>-3862</v>
      </c>
      <c r="I11" s="64"/>
      <c r="N11" s="61"/>
    </row>
    <row r="12" spans="2:18" x14ac:dyDescent="0.2">
      <c r="B12" s="52" t="s">
        <v>3</v>
      </c>
      <c r="G12" s="65">
        <v>4713</v>
      </c>
      <c r="H12" s="65">
        <v>42</v>
      </c>
      <c r="I12" s="64"/>
    </row>
    <row r="13" spans="2:18" x14ac:dyDescent="0.2">
      <c r="B13" s="51" t="s">
        <v>26</v>
      </c>
      <c r="G13" s="65">
        <f>G8</f>
        <v>-270</v>
      </c>
      <c r="H13" s="65">
        <f>H8</f>
        <v>-121</v>
      </c>
      <c r="I13" s="64"/>
    </row>
    <row r="14" spans="2:18" x14ac:dyDescent="0.2">
      <c r="B14" s="52" t="s">
        <v>20</v>
      </c>
      <c r="G14" s="65">
        <f>G11</f>
        <v>-2</v>
      </c>
      <c r="H14" s="65">
        <f>H11</f>
        <v>-3862</v>
      </c>
      <c r="I14" s="64"/>
    </row>
    <row r="15" spans="2:18" x14ac:dyDescent="0.2">
      <c r="B15" s="52" t="s">
        <v>21</v>
      </c>
      <c r="G15" s="65">
        <f>G12-G13-G14</f>
        <v>4985</v>
      </c>
      <c r="H15" s="65">
        <f>H12-H13-H14</f>
        <v>4025</v>
      </c>
      <c r="I15" s="64"/>
    </row>
    <row r="16" spans="2:18" x14ac:dyDescent="0.2">
      <c r="B16" s="51" t="s">
        <v>28</v>
      </c>
      <c r="G16" s="65">
        <f>G6</f>
        <v>43</v>
      </c>
      <c r="H16" s="65">
        <f>H6</f>
        <v>0</v>
      </c>
      <c r="I16" s="64"/>
    </row>
    <row r="17" spans="2:10" x14ac:dyDescent="0.2">
      <c r="B17" s="52" t="s">
        <v>144</v>
      </c>
      <c r="G17" s="65">
        <f>G15-G16</f>
        <v>4942</v>
      </c>
      <c r="H17" s="65">
        <f>H15-H16</f>
        <v>4025</v>
      </c>
      <c r="I17" s="64"/>
    </row>
    <row r="19" spans="2:10" s="57" customFormat="1" x14ac:dyDescent="0.2"/>
    <row r="20" spans="2:10" s="57" customFormat="1" x14ac:dyDescent="0.2"/>
    <row r="21" spans="2:10" x14ac:dyDescent="0.2">
      <c r="B21" s="63" t="s">
        <v>141</v>
      </c>
    </row>
    <row r="22" spans="2:10" x14ac:dyDescent="0.2">
      <c r="B22" s="63"/>
    </row>
    <row r="23" spans="2:10" ht="15.75" x14ac:dyDescent="0.25">
      <c r="B23" s="62" t="s">
        <v>129</v>
      </c>
    </row>
    <row r="24" spans="2:10" x14ac:dyDescent="0.2">
      <c r="B24" s="63"/>
    </row>
    <row r="25" spans="2:10" x14ac:dyDescent="0.2">
      <c r="B25" s="63" t="s">
        <v>190</v>
      </c>
    </row>
    <row r="26" spans="2:10" x14ac:dyDescent="0.2">
      <c r="B26" s="63" t="s">
        <v>191</v>
      </c>
    </row>
    <row r="27" spans="2:10" x14ac:dyDescent="0.2">
      <c r="B27" s="63"/>
    </row>
    <row r="28" spans="2:10" ht="15.75" x14ac:dyDescent="0.25">
      <c r="B28" s="62" t="s">
        <v>176</v>
      </c>
      <c r="D28" s="61"/>
    </row>
    <row r="29" spans="2:10" x14ac:dyDescent="0.2">
      <c r="I29" s="187"/>
      <c r="J29" s="187"/>
    </row>
    <row r="30" spans="2:10" x14ac:dyDescent="0.2">
      <c r="C30" s="57" t="s">
        <v>73</v>
      </c>
      <c r="F30" s="60" t="s">
        <v>187</v>
      </c>
      <c r="G30" s="70" t="s">
        <v>188</v>
      </c>
      <c r="H30" s="56"/>
      <c r="I30" s="56"/>
      <c r="J30" s="56"/>
    </row>
    <row r="31" spans="2:10" x14ac:dyDescent="0.2">
      <c r="C31" s="57" t="s">
        <v>151</v>
      </c>
      <c r="F31" s="59" t="s">
        <v>178</v>
      </c>
      <c r="G31" s="57"/>
      <c r="H31" s="56"/>
      <c r="I31" s="56"/>
      <c r="J31" s="58"/>
    </row>
    <row r="32" spans="2:10" x14ac:dyDescent="0.2">
      <c r="C32" s="57" t="s">
        <v>152</v>
      </c>
      <c r="F32" s="59" t="s">
        <v>189</v>
      </c>
      <c r="G32" s="57"/>
      <c r="H32" s="56"/>
      <c r="I32" s="56"/>
      <c r="J32" s="58"/>
    </row>
    <row r="33" spans="2:10" x14ac:dyDescent="0.2">
      <c r="F33" s="57"/>
      <c r="G33" s="57"/>
      <c r="H33" s="56"/>
      <c r="I33" s="56"/>
      <c r="J33" s="55"/>
    </row>
    <row r="34" spans="2:10" s="52" customFormat="1" x14ac:dyDescent="0.2">
      <c r="B34" s="54" t="s">
        <v>148</v>
      </c>
      <c r="D34" s="53"/>
      <c r="F34" s="51"/>
    </row>
  </sheetData>
  <mergeCells count="1">
    <mergeCell ref="I29:J29"/>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2:R41"/>
  <sheetViews>
    <sheetView showGridLines="0" topLeftCell="B1" zoomScale="110" zoomScaleNormal="110" workbookViewId="0">
      <selection activeCell="D15" sqref="D15"/>
    </sheetView>
  </sheetViews>
  <sheetFormatPr defaultColWidth="9.140625" defaultRowHeight="12.75" x14ac:dyDescent="0.2"/>
  <cols>
    <col min="1" max="1" width="3.42578125" style="85" customWidth="1"/>
    <col min="2" max="2" width="20.5703125" style="85" customWidth="1"/>
    <col min="3" max="3" width="9.140625" style="85"/>
    <col min="4" max="4" width="11.7109375" style="85" customWidth="1"/>
    <col min="5" max="5" width="14.7109375" style="85" customWidth="1"/>
    <col min="6" max="6" width="19.140625" style="85" customWidth="1"/>
    <col min="7" max="7" width="19.5703125" style="85" customWidth="1"/>
    <col min="8" max="8" width="14" style="85" customWidth="1"/>
    <col min="9" max="9" width="14.140625" style="85" customWidth="1"/>
    <col min="10" max="10" width="18.28515625" style="85" customWidth="1"/>
    <col min="11" max="12" width="9.140625" style="85"/>
    <col min="13" max="13" width="27.85546875" style="85" customWidth="1"/>
    <col min="14" max="15" width="9.140625" style="85"/>
    <col min="16" max="16" width="6.42578125" style="85" customWidth="1"/>
    <col min="17" max="16384" width="9.140625" style="85"/>
  </cols>
  <sheetData>
    <row r="2" spans="2:18" ht="15.75" x14ac:dyDescent="0.25">
      <c r="B2" s="93" t="s">
        <v>362</v>
      </c>
    </row>
    <row r="3" spans="2:18" x14ac:dyDescent="0.2">
      <c r="B3" s="85" t="s">
        <v>4</v>
      </c>
      <c r="E3" s="98" t="s">
        <v>361</v>
      </c>
      <c r="F3" s="98" t="s">
        <v>310</v>
      </c>
      <c r="I3" s="98"/>
      <c r="P3" s="94"/>
      <c r="R3" s="94"/>
    </row>
    <row r="4" spans="2:18" x14ac:dyDescent="0.2">
      <c r="N4" s="86"/>
    </row>
    <row r="5" spans="2:18" x14ac:dyDescent="0.2">
      <c r="B5" s="96" t="s">
        <v>143</v>
      </c>
      <c r="E5" s="37">
        <f>E7-E6</f>
        <v>12551</v>
      </c>
      <c r="F5" s="37">
        <f>F7-F6</f>
        <v>11420</v>
      </c>
      <c r="I5" s="95"/>
      <c r="N5" s="86"/>
    </row>
    <row r="6" spans="2:18" x14ac:dyDescent="0.2">
      <c r="B6" s="94" t="s">
        <v>209</v>
      </c>
      <c r="E6" s="38">
        <f>75+93</f>
        <v>168</v>
      </c>
      <c r="F6" s="38">
        <f>-39</f>
        <v>-39</v>
      </c>
      <c r="I6" s="97"/>
      <c r="N6" s="86"/>
    </row>
    <row r="7" spans="2:18" x14ac:dyDescent="0.2">
      <c r="B7" s="96" t="s">
        <v>145</v>
      </c>
      <c r="E7" s="79">
        <v>12719</v>
      </c>
      <c r="F7" s="79">
        <v>11381</v>
      </c>
      <c r="I7" s="95"/>
    </row>
    <row r="8" spans="2:18" x14ac:dyDescent="0.2">
      <c r="B8" s="85" t="s">
        <v>22</v>
      </c>
      <c r="E8" s="37">
        <v>280</v>
      </c>
      <c r="F8" s="79">
        <v>-297</v>
      </c>
      <c r="I8" s="95"/>
    </row>
    <row r="9" spans="2:18" x14ac:dyDescent="0.2">
      <c r="B9" s="96" t="s">
        <v>2</v>
      </c>
      <c r="E9" s="37">
        <v>13000</v>
      </c>
      <c r="F9" s="37">
        <v>11084</v>
      </c>
      <c r="I9" s="95"/>
    </row>
    <row r="10" spans="2:18" x14ac:dyDescent="0.2">
      <c r="B10" s="85" t="s">
        <v>15</v>
      </c>
      <c r="E10" s="37">
        <v>-5338</v>
      </c>
      <c r="F10" s="79">
        <v>-4781</v>
      </c>
      <c r="I10" s="95"/>
      <c r="N10" s="86"/>
      <c r="P10" s="94"/>
    </row>
    <row r="11" spans="2:18" x14ac:dyDescent="0.2">
      <c r="B11" s="94" t="s">
        <v>281</v>
      </c>
      <c r="E11" s="38">
        <v>-380</v>
      </c>
      <c r="F11" s="79">
        <v>1</v>
      </c>
      <c r="I11" s="95"/>
      <c r="N11" s="86"/>
    </row>
    <row r="12" spans="2:18" x14ac:dyDescent="0.2">
      <c r="B12" s="96" t="s">
        <v>345</v>
      </c>
      <c r="E12" s="37">
        <f>E9+E10+E11</f>
        <v>7282</v>
      </c>
      <c r="F12" s="37">
        <f>F9+F10+F11</f>
        <v>6304</v>
      </c>
      <c r="I12" s="95"/>
    </row>
    <row r="13" spans="2:18" x14ac:dyDescent="0.2">
      <c r="B13" s="85" t="s">
        <v>26</v>
      </c>
      <c r="E13" s="37">
        <f>E8</f>
        <v>280</v>
      </c>
      <c r="F13" s="37">
        <f>F8</f>
        <v>-297</v>
      </c>
      <c r="I13" s="95"/>
    </row>
    <row r="14" spans="2:18" x14ac:dyDescent="0.2">
      <c r="B14" s="96" t="s">
        <v>20</v>
      </c>
      <c r="E14" s="37">
        <f>E11</f>
        <v>-380</v>
      </c>
      <c r="F14" s="37">
        <f>F11</f>
        <v>1</v>
      </c>
      <c r="I14" s="95"/>
      <c r="N14" s="86"/>
    </row>
    <row r="15" spans="2:18" x14ac:dyDescent="0.2">
      <c r="B15" s="96" t="s">
        <v>331</v>
      </c>
      <c r="E15" s="37">
        <f>E12-E13-E14</f>
        <v>7382</v>
      </c>
      <c r="F15" s="37">
        <f>F12-F13-F14</f>
        <v>6600</v>
      </c>
      <c r="I15" s="95"/>
    </row>
    <row r="16" spans="2:18" x14ac:dyDescent="0.2">
      <c r="B16" s="94" t="s">
        <v>210</v>
      </c>
      <c r="E16" s="37">
        <f>E6</f>
        <v>168</v>
      </c>
      <c r="F16" s="37">
        <f>F6</f>
        <v>-39</v>
      </c>
      <c r="I16" s="95"/>
    </row>
    <row r="17" spans="1:18" x14ac:dyDescent="0.2">
      <c r="B17" s="96" t="s">
        <v>332</v>
      </c>
      <c r="E17" s="37">
        <f>E15-E16</f>
        <v>7214</v>
      </c>
      <c r="F17" s="37">
        <f>F15-F16</f>
        <v>6639</v>
      </c>
      <c r="I17" s="95"/>
    </row>
    <row r="19" spans="1:18" s="166" customFormat="1" ht="15" x14ac:dyDescent="0.2">
      <c r="A19" s="94"/>
      <c r="B19" s="94" t="s">
        <v>279</v>
      </c>
      <c r="C19" s="94"/>
      <c r="D19" s="94"/>
      <c r="E19" s="94"/>
      <c r="F19" s="94"/>
      <c r="G19" s="94"/>
      <c r="H19" s="94"/>
      <c r="I19" s="94"/>
      <c r="J19" s="94"/>
      <c r="K19" s="94"/>
    </row>
    <row r="20" spans="1:18" x14ac:dyDescent="0.2">
      <c r="B20" s="105"/>
      <c r="C20" s="86"/>
      <c r="D20" s="86"/>
      <c r="E20" s="86"/>
      <c r="F20" s="86"/>
      <c r="G20" s="86"/>
      <c r="H20" s="86"/>
      <c r="I20" s="86"/>
      <c r="J20" s="86"/>
      <c r="K20" s="86"/>
      <c r="L20" s="86"/>
      <c r="M20" s="86"/>
    </row>
    <row r="21" spans="1:18" ht="15.75" x14ac:dyDescent="0.25">
      <c r="B21" s="93" t="s">
        <v>129</v>
      </c>
      <c r="C21" s="86"/>
      <c r="D21" s="86"/>
      <c r="E21" s="86"/>
      <c r="F21" s="86"/>
      <c r="G21" s="86"/>
      <c r="H21" s="86"/>
      <c r="I21" s="86"/>
      <c r="J21" s="86"/>
      <c r="K21" s="86"/>
      <c r="L21" s="86"/>
      <c r="M21" s="86"/>
    </row>
    <row r="22" spans="1:18" s="96" customFormat="1" ht="15.75" x14ac:dyDescent="0.25">
      <c r="B22" s="93"/>
      <c r="C22" s="159"/>
      <c r="D22" s="159"/>
      <c r="E22" s="159"/>
      <c r="F22" s="159"/>
      <c r="G22" s="159"/>
      <c r="H22" s="159"/>
      <c r="I22" s="159"/>
      <c r="J22" s="159"/>
      <c r="K22" s="159"/>
      <c r="L22" s="159"/>
      <c r="M22" s="159"/>
    </row>
    <row r="23" spans="1:18" s="160" customFormat="1" ht="12.75" customHeight="1" x14ac:dyDescent="0.2">
      <c r="B23" s="181" t="s">
        <v>371</v>
      </c>
      <c r="C23" s="181"/>
      <c r="D23" s="181"/>
      <c r="E23" s="181"/>
      <c r="F23" s="181"/>
      <c r="G23" s="181"/>
      <c r="H23" s="181"/>
      <c r="I23" s="181"/>
      <c r="J23" s="181"/>
      <c r="K23" s="181"/>
      <c r="L23" s="181"/>
      <c r="M23" s="181"/>
      <c r="N23" s="161"/>
      <c r="O23" s="161"/>
      <c r="P23" s="161"/>
      <c r="Q23" s="161"/>
      <c r="R23" s="161"/>
    </row>
    <row r="24" spans="1:18" s="160" customFormat="1" ht="12.75" customHeight="1" x14ac:dyDescent="0.2">
      <c r="B24" s="175" t="s">
        <v>372</v>
      </c>
      <c r="C24" s="175"/>
      <c r="D24" s="175"/>
      <c r="E24" s="175"/>
      <c r="F24" s="175"/>
      <c r="G24" s="175"/>
      <c r="H24" s="169"/>
      <c r="I24" s="169"/>
      <c r="J24" s="169"/>
      <c r="K24" s="169"/>
      <c r="L24" s="169"/>
      <c r="M24" s="169"/>
      <c r="N24" s="161"/>
      <c r="O24" s="161"/>
      <c r="P24" s="161"/>
      <c r="Q24" s="161"/>
      <c r="R24" s="161"/>
    </row>
    <row r="25" spans="1:18" s="160" customFormat="1" ht="12.75" customHeight="1" x14ac:dyDescent="0.2">
      <c r="B25" s="174" t="s">
        <v>373</v>
      </c>
      <c r="C25" s="174"/>
      <c r="D25" s="174"/>
      <c r="E25" s="174"/>
      <c r="F25" s="174"/>
      <c r="G25" s="174"/>
      <c r="H25" s="174"/>
      <c r="I25" s="174"/>
      <c r="J25" s="174"/>
      <c r="K25" s="174"/>
      <c r="L25" s="174"/>
      <c r="M25" s="174"/>
      <c r="N25" s="161"/>
      <c r="O25" s="161"/>
      <c r="P25" s="161"/>
      <c r="Q25" s="161"/>
      <c r="R25" s="161"/>
    </row>
    <row r="26" spans="1:18" s="94" customFormat="1" x14ac:dyDescent="0.2">
      <c r="B26" s="173" t="s">
        <v>374</v>
      </c>
      <c r="C26" s="173"/>
      <c r="D26" s="173"/>
      <c r="E26" s="173"/>
      <c r="F26" s="173"/>
      <c r="G26" s="173"/>
      <c r="H26" s="173"/>
      <c r="I26" s="173"/>
      <c r="J26" s="173"/>
      <c r="K26" s="173"/>
      <c r="L26" s="173"/>
      <c r="M26" s="173"/>
      <c r="N26" s="110"/>
      <c r="O26" s="110"/>
      <c r="P26" s="110"/>
      <c r="Q26" s="110"/>
      <c r="R26" s="110"/>
    </row>
    <row r="27" spans="1:18" s="94" customFormat="1" x14ac:dyDescent="0.2">
      <c r="B27" s="168"/>
      <c r="C27" s="168"/>
      <c r="D27" s="168"/>
      <c r="E27" s="168"/>
      <c r="F27" s="168"/>
      <c r="G27" s="168"/>
      <c r="H27" s="168"/>
      <c r="I27" s="168"/>
      <c r="J27" s="168"/>
      <c r="K27" s="168"/>
      <c r="L27" s="168"/>
      <c r="M27" s="168"/>
      <c r="N27" s="110"/>
      <c r="O27" s="110"/>
      <c r="P27" s="110"/>
      <c r="Q27" s="110"/>
      <c r="R27" s="110"/>
    </row>
    <row r="28" spans="1:18" ht="13.5" thickBot="1" x14ac:dyDescent="0.25">
      <c r="A28" s="87"/>
      <c r="B28" s="106"/>
      <c r="C28" s="106"/>
      <c r="D28" s="106"/>
      <c r="E28" s="106"/>
      <c r="F28" s="106"/>
      <c r="G28" s="106"/>
      <c r="H28" s="106"/>
      <c r="I28" s="106"/>
      <c r="J28" s="106"/>
      <c r="K28" s="106"/>
      <c r="L28" s="106"/>
      <c r="M28" s="106"/>
    </row>
    <row r="29" spans="1:18" ht="15.75" x14ac:dyDescent="0.25">
      <c r="A29" s="87"/>
      <c r="B29" s="111" t="s">
        <v>363</v>
      </c>
      <c r="C29" s="112"/>
      <c r="D29" s="112"/>
      <c r="E29" s="112"/>
      <c r="F29" s="112"/>
      <c r="G29" s="112"/>
      <c r="H29" s="112"/>
      <c r="I29" s="170"/>
      <c r="J29" s="89"/>
      <c r="K29" s="89"/>
      <c r="L29" s="89"/>
      <c r="M29" s="86"/>
    </row>
    <row r="30" spans="1:18" s="87" customFormat="1" ht="15.75" x14ac:dyDescent="0.25">
      <c r="B30" s="115"/>
      <c r="C30" s="116"/>
      <c r="D30" s="116"/>
      <c r="E30" s="116"/>
      <c r="F30" s="117"/>
      <c r="G30" s="116"/>
      <c r="H30" s="147" t="s">
        <v>283</v>
      </c>
      <c r="I30" s="177" t="s">
        <v>367</v>
      </c>
      <c r="K30" s="89"/>
      <c r="L30" s="89"/>
      <c r="M30" s="89"/>
    </row>
    <row r="31" spans="1:18" s="87" customFormat="1" x14ac:dyDescent="0.2">
      <c r="B31" s="121"/>
      <c r="C31" s="116" t="s">
        <v>73</v>
      </c>
      <c r="D31" s="116"/>
      <c r="E31" s="116"/>
      <c r="F31" s="137" t="s">
        <v>313</v>
      </c>
      <c r="G31" s="147" t="s">
        <v>364</v>
      </c>
      <c r="H31" s="147" t="s">
        <v>368</v>
      </c>
      <c r="I31" s="178" t="s">
        <v>351</v>
      </c>
      <c r="J31" s="108"/>
      <c r="K31" s="89"/>
      <c r="L31" s="89"/>
      <c r="M31" s="89"/>
    </row>
    <row r="32" spans="1:18" s="87" customFormat="1" x14ac:dyDescent="0.2">
      <c r="B32" s="121"/>
      <c r="C32" s="116" t="s">
        <v>151</v>
      </c>
      <c r="D32" s="116"/>
      <c r="E32" s="116"/>
      <c r="F32" s="138" t="s">
        <v>366</v>
      </c>
      <c r="G32" s="147" t="s">
        <v>365</v>
      </c>
      <c r="H32" s="147" t="s">
        <v>369</v>
      </c>
      <c r="I32" s="178" t="s">
        <v>352</v>
      </c>
      <c r="J32" s="108"/>
      <c r="K32" s="89"/>
      <c r="L32" s="89"/>
      <c r="M32" s="89"/>
    </row>
    <row r="33" spans="1:13" s="87" customFormat="1" x14ac:dyDescent="0.2">
      <c r="B33" s="121"/>
      <c r="C33" s="116" t="s">
        <v>152</v>
      </c>
      <c r="D33" s="116"/>
      <c r="E33" s="116"/>
      <c r="F33" s="138" t="s">
        <v>340</v>
      </c>
      <c r="G33" s="147" t="s">
        <v>364</v>
      </c>
      <c r="H33" s="147" t="s">
        <v>370</v>
      </c>
      <c r="I33" s="178" t="s">
        <v>353</v>
      </c>
      <c r="J33" s="108"/>
      <c r="K33" s="89"/>
      <c r="L33" s="89"/>
      <c r="M33" s="89"/>
    </row>
    <row r="34" spans="1:13" s="87" customFormat="1" ht="18.75" customHeight="1" x14ac:dyDescent="0.2">
      <c r="B34" s="130" t="s">
        <v>301</v>
      </c>
      <c r="C34" s="116"/>
      <c r="D34" s="116"/>
      <c r="E34" s="116"/>
      <c r="F34" s="116"/>
      <c r="G34" s="147"/>
      <c r="H34" s="147"/>
      <c r="I34" s="171"/>
      <c r="J34" s="107"/>
      <c r="K34" s="89"/>
      <c r="L34" s="89"/>
      <c r="M34" s="89"/>
    </row>
    <row r="35" spans="1:13" s="87" customFormat="1" ht="13.5" customHeight="1" thickBot="1" x14ac:dyDescent="0.25">
      <c r="B35" s="179"/>
      <c r="C35" s="180"/>
      <c r="D35" s="180"/>
      <c r="E35" s="180"/>
      <c r="F35" s="180"/>
      <c r="G35" s="180"/>
      <c r="H35" s="180"/>
      <c r="I35" s="172"/>
      <c r="J35" s="89"/>
      <c r="K35" s="89"/>
      <c r="L35" s="89"/>
      <c r="M35" s="89"/>
    </row>
    <row r="36" spans="1:13" x14ac:dyDescent="0.2">
      <c r="A36" s="87"/>
      <c r="B36" s="89"/>
      <c r="C36" s="89"/>
      <c r="D36" s="89"/>
      <c r="E36" s="89"/>
      <c r="F36" s="89"/>
      <c r="G36" s="89"/>
      <c r="H36" s="89"/>
      <c r="I36" s="89"/>
      <c r="J36" s="89"/>
      <c r="K36" s="89"/>
      <c r="L36" s="89"/>
      <c r="M36" s="86"/>
    </row>
    <row r="37" spans="1:13" x14ac:dyDescent="0.2">
      <c r="A37" s="87"/>
      <c r="B37" s="89"/>
      <c r="C37" s="89"/>
      <c r="D37" s="89"/>
      <c r="E37" s="89"/>
      <c r="F37" s="89"/>
      <c r="G37" s="89"/>
      <c r="H37" s="89"/>
      <c r="I37" s="89"/>
      <c r="J37" s="89"/>
      <c r="K37" s="89"/>
      <c r="L37" s="89"/>
      <c r="M37" s="86"/>
    </row>
    <row r="38" spans="1:13" x14ac:dyDescent="0.2">
      <c r="A38" s="87"/>
      <c r="B38" s="89"/>
      <c r="C38" s="89"/>
      <c r="D38" s="89"/>
      <c r="E38" s="89"/>
      <c r="F38" s="89"/>
      <c r="G38" s="89"/>
      <c r="H38" s="89"/>
      <c r="I38" s="89"/>
      <c r="J38" s="89"/>
      <c r="K38" s="89"/>
      <c r="L38" s="89"/>
      <c r="M38" s="86"/>
    </row>
    <row r="39" spans="1:13" x14ac:dyDescent="0.2">
      <c r="A39" s="87"/>
      <c r="B39" s="89"/>
      <c r="C39" s="87"/>
      <c r="D39" s="87"/>
      <c r="E39" s="87"/>
      <c r="F39" s="87"/>
      <c r="G39" s="87"/>
      <c r="H39" s="87"/>
      <c r="I39" s="87"/>
      <c r="J39" s="87"/>
      <c r="K39" s="87"/>
      <c r="L39" s="87"/>
    </row>
    <row r="40" spans="1:13" x14ac:dyDescent="0.2">
      <c r="A40" s="87"/>
      <c r="B40" s="87"/>
      <c r="C40" s="87"/>
      <c r="D40" s="87"/>
      <c r="E40" s="87"/>
      <c r="F40" s="87"/>
      <c r="G40" s="87"/>
      <c r="H40" s="87"/>
      <c r="I40" s="87"/>
      <c r="J40" s="87"/>
      <c r="K40" s="87"/>
      <c r="L40" s="87"/>
    </row>
    <row r="41" spans="1:13" x14ac:dyDescent="0.2">
      <c r="A41" s="87"/>
      <c r="B41" s="87"/>
      <c r="C41" s="87"/>
      <c r="D41" s="87"/>
      <c r="E41" s="87"/>
      <c r="F41" s="87"/>
      <c r="G41" s="87"/>
      <c r="H41" s="87"/>
      <c r="I41" s="87"/>
      <c r="J41" s="87"/>
      <c r="K41" s="87"/>
      <c r="L41" s="87"/>
    </row>
  </sheetData>
  <mergeCells count="2">
    <mergeCell ref="B23:M23"/>
    <mergeCell ref="B35:H35"/>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2:R39"/>
  <sheetViews>
    <sheetView showGridLines="0" workbookViewId="0">
      <selection activeCell="F18" sqref="F18"/>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4" t="s">
        <v>174</v>
      </c>
    </row>
    <row r="3" spans="2:18" x14ac:dyDescent="0.2">
      <c r="B3" t="s">
        <v>4</v>
      </c>
      <c r="G3" s="1" t="s">
        <v>175</v>
      </c>
      <c r="H3" s="1" t="s">
        <v>123</v>
      </c>
      <c r="I3" s="1"/>
      <c r="P3" s="10"/>
      <c r="R3" s="10"/>
    </row>
    <row r="4" spans="2:18" x14ac:dyDescent="0.2">
      <c r="N4" s="36"/>
    </row>
    <row r="5" spans="2:18" x14ac:dyDescent="0.2">
      <c r="B5" s="2" t="s">
        <v>143</v>
      </c>
      <c r="G5" s="37">
        <f>G7-G6</f>
        <v>8165</v>
      </c>
      <c r="H5" s="37">
        <f>H7-H6</f>
        <v>7405</v>
      </c>
      <c r="I5" s="6"/>
    </row>
    <row r="6" spans="2:18" x14ac:dyDescent="0.2">
      <c r="B6" t="s">
        <v>27</v>
      </c>
      <c r="G6" s="38">
        <f>54-55+15</f>
        <v>14</v>
      </c>
      <c r="H6" s="38">
        <f>115-69-30-48+44</f>
        <v>12</v>
      </c>
      <c r="I6" s="7"/>
    </row>
    <row r="7" spans="2:18" x14ac:dyDescent="0.2">
      <c r="B7" s="2" t="s">
        <v>145</v>
      </c>
      <c r="G7" s="37">
        <v>8179</v>
      </c>
      <c r="H7" s="37">
        <v>7417</v>
      </c>
      <c r="I7" s="6"/>
    </row>
    <row r="8" spans="2:18" x14ac:dyDescent="0.2">
      <c r="B8" t="s">
        <v>22</v>
      </c>
      <c r="G8" s="37">
        <v>-277</v>
      </c>
      <c r="H8" s="37">
        <v>-334</v>
      </c>
      <c r="I8" s="6"/>
    </row>
    <row r="9" spans="2:18" x14ac:dyDescent="0.2">
      <c r="B9" s="2" t="s">
        <v>2</v>
      </c>
      <c r="G9" s="37">
        <f>G7+G8</f>
        <v>7902</v>
      </c>
      <c r="H9" s="37">
        <f>H7+H8</f>
        <v>7083</v>
      </c>
      <c r="I9" s="6"/>
    </row>
    <row r="10" spans="2:18" x14ac:dyDescent="0.2">
      <c r="B10" t="s">
        <v>15</v>
      </c>
      <c r="G10" s="37">
        <v>-3680</v>
      </c>
      <c r="H10" s="37">
        <v>-3873</v>
      </c>
      <c r="I10" s="6"/>
      <c r="N10" s="36"/>
      <c r="P10" s="10"/>
    </row>
    <row r="11" spans="2:18" x14ac:dyDescent="0.2">
      <c r="B11" s="10" t="s">
        <v>136</v>
      </c>
      <c r="G11" s="37">
        <v>-3960</v>
      </c>
      <c r="H11" s="37">
        <v>-4306</v>
      </c>
      <c r="I11" s="6"/>
      <c r="N11" s="36"/>
    </row>
    <row r="12" spans="2:18" x14ac:dyDescent="0.2">
      <c r="B12" s="2" t="s">
        <v>3</v>
      </c>
      <c r="G12" s="37">
        <f>G9+G10+G11</f>
        <v>262</v>
      </c>
      <c r="H12" s="37">
        <f>H9+H10+H11</f>
        <v>-1096</v>
      </c>
      <c r="I12" s="6"/>
    </row>
    <row r="13" spans="2:18" x14ac:dyDescent="0.2">
      <c r="B13" t="s">
        <v>26</v>
      </c>
      <c r="G13" s="37">
        <f>G8</f>
        <v>-277</v>
      </c>
      <c r="H13" s="37">
        <f>H8</f>
        <v>-334</v>
      </c>
      <c r="I13" s="6"/>
    </row>
    <row r="14" spans="2:18" x14ac:dyDescent="0.2">
      <c r="B14" s="2" t="s">
        <v>20</v>
      </c>
      <c r="G14" s="37">
        <f>G11</f>
        <v>-3960</v>
      </c>
      <c r="H14" s="37">
        <f>H11</f>
        <v>-4306</v>
      </c>
      <c r="I14" s="6"/>
      <c r="N14" s="36"/>
    </row>
    <row r="15" spans="2:18" x14ac:dyDescent="0.2">
      <c r="B15" s="2" t="s">
        <v>21</v>
      </c>
      <c r="G15" s="37">
        <f>G12-G13-G14</f>
        <v>4499</v>
      </c>
      <c r="H15" s="37">
        <f>H12-H13-H14</f>
        <v>3544</v>
      </c>
      <c r="I15" s="6"/>
    </row>
    <row r="16" spans="2:18" x14ac:dyDescent="0.2">
      <c r="B16" t="s">
        <v>28</v>
      </c>
      <c r="G16" s="37">
        <f>G6</f>
        <v>14</v>
      </c>
      <c r="H16" s="37">
        <f>H6</f>
        <v>12</v>
      </c>
      <c r="I16" s="6"/>
    </row>
    <row r="17" spans="1:13" x14ac:dyDescent="0.2">
      <c r="B17" s="2" t="s">
        <v>144</v>
      </c>
      <c r="G17" s="37">
        <f>G15-G16</f>
        <v>4485</v>
      </c>
      <c r="H17" s="37">
        <f>H15-H16</f>
        <v>3532</v>
      </c>
      <c r="I17" s="6"/>
    </row>
    <row r="19" spans="1:13" s="10" customFormat="1" x14ac:dyDescent="0.2"/>
    <row r="20" spans="1:13" x14ac:dyDescent="0.2">
      <c r="B20" s="40" t="s">
        <v>141</v>
      </c>
    </row>
    <row r="21" spans="1:13" x14ac:dyDescent="0.2">
      <c r="B21" s="40"/>
    </row>
    <row r="22" spans="1:13" ht="15.75" x14ac:dyDescent="0.25">
      <c r="B22" s="4" t="s">
        <v>129</v>
      </c>
    </row>
    <row r="23" spans="1:13" ht="15.75" x14ac:dyDescent="0.25">
      <c r="B23" s="4"/>
    </row>
    <row r="24" spans="1:13" x14ac:dyDescent="0.2">
      <c r="B24" s="42" t="s">
        <v>180</v>
      </c>
      <c r="C24" s="48"/>
      <c r="D24" s="48"/>
      <c r="E24" s="48"/>
      <c r="F24" s="48"/>
      <c r="G24" s="48"/>
      <c r="H24" s="48"/>
      <c r="I24" s="48"/>
      <c r="J24" s="48"/>
      <c r="K24" s="48"/>
      <c r="L24" s="48"/>
      <c r="M24" s="48"/>
    </row>
    <row r="25" spans="1:13" x14ac:dyDescent="0.2">
      <c r="B25" s="42" t="s">
        <v>182</v>
      </c>
      <c r="C25" s="48"/>
      <c r="D25" s="48"/>
      <c r="E25" s="48"/>
      <c r="F25" s="48"/>
      <c r="G25" s="48"/>
      <c r="H25" s="48"/>
      <c r="I25" s="48"/>
      <c r="J25" s="48"/>
      <c r="K25" s="48"/>
      <c r="L25" s="48"/>
      <c r="M25" s="48"/>
    </row>
    <row r="26" spans="1:13" x14ac:dyDescent="0.2">
      <c r="B26" s="49" t="s">
        <v>184</v>
      </c>
      <c r="C26" s="50"/>
      <c r="D26" s="50"/>
      <c r="E26" s="50"/>
      <c r="F26" s="50"/>
      <c r="G26" s="50"/>
      <c r="H26" s="50"/>
      <c r="I26" s="50"/>
      <c r="J26" s="48"/>
      <c r="K26" s="48"/>
      <c r="L26" s="48"/>
      <c r="M26" s="48"/>
    </row>
    <row r="27" spans="1:13" x14ac:dyDescent="0.2">
      <c r="B27" s="49" t="s">
        <v>181</v>
      </c>
      <c r="C27" s="50"/>
      <c r="D27" s="50"/>
      <c r="E27" s="50"/>
      <c r="F27" s="50"/>
      <c r="G27" s="50"/>
      <c r="H27" s="50"/>
      <c r="I27" s="50"/>
      <c r="J27" s="48"/>
      <c r="K27" s="48"/>
      <c r="L27" s="48"/>
      <c r="M27" s="48"/>
    </row>
    <row r="28" spans="1:13" x14ac:dyDescent="0.2">
      <c r="B28" s="40"/>
    </row>
    <row r="29" spans="1:13" x14ac:dyDescent="0.2">
      <c r="A29" s="18"/>
      <c r="B29" s="46"/>
      <c r="C29" s="18"/>
      <c r="D29" s="18"/>
      <c r="E29" s="18"/>
      <c r="F29" s="18"/>
      <c r="G29" s="18"/>
      <c r="H29" s="18"/>
      <c r="I29" s="18"/>
      <c r="J29" s="18"/>
    </row>
    <row r="30" spans="1:13" ht="15.75" x14ac:dyDescent="0.25">
      <c r="A30" s="18"/>
      <c r="B30" s="17" t="s">
        <v>176</v>
      </c>
      <c r="C30" s="18"/>
      <c r="D30" s="47"/>
      <c r="E30" s="13"/>
      <c r="F30" s="18"/>
      <c r="G30" s="18"/>
      <c r="H30" s="18"/>
      <c r="I30" s="18"/>
      <c r="J30" s="18"/>
    </row>
    <row r="31" spans="1:13" ht="15.75" x14ac:dyDescent="0.25">
      <c r="A31" s="18"/>
      <c r="B31" s="17"/>
      <c r="C31" s="18"/>
      <c r="D31" s="47"/>
      <c r="E31" s="18"/>
      <c r="F31" s="18"/>
      <c r="G31" s="18"/>
      <c r="H31" s="18"/>
      <c r="I31" s="18"/>
      <c r="J31" s="18"/>
    </row>
    <row r="32" spans="1:13" x14ac:dyDescent="0.2">
      <c r="A32" s="18"/>
      <c r="B32" s="18"/>
      <c r="C32" s="13" t="s">
        <v>73</v>
      </c>
      <c r="D32" s="18"/>
      <c r="E32" s="18"/>
      <c r="F32" s="19" t="s">
        <v>68</v>
      </c>
      <c r="G32" s="13"/>
      <c r="H32" s="18"/>
      <c r="I32" s="18"/>
      <c r="J32" s="15"/>
    </row>
    <row r="33" spans="1:10" x14ac:dyDescent="0.2">
      <c r="A33" s="18"/>
      <c r="B33" s="18"/>
      <c r="C33" s="13" t="s">
        <v>151</v>
      </c>
      <c r="D33" s="18"/>
      <c r="E33" s="18"/>
      <c r="F33" s="13" t="s">
        <v>178</v>
      </c>
      <c r="G33" s="13"/>
      <c r="H33" s="18"/>
      <c r="I33" s="18"/>
      <c r="J33" s="15"/>
    </row>
    <row r="34" spans="1:10" x14ac:dyDescent="0.2">
      <c r="A34" s="18"/>
      <c r="B34" s="18"/>
      <c r="C34" s="13" t="s">
        <v>152</v>
      </c>
      <c r="D34" s="18"/>
      <c r="E34" s="18"/>
      <c r="F34" s="13" t="s">
        <v>179</v>
      </c>
      <c r="G34" s="13"/>
      <c r="H34" s="18"/>
      <c r="I34" s="18"/>
      <c r="J34" s="15"/>
    </row>
    <row r="35" spans="1:10" x14ac:dyDescent="0.2">
      <c r="A35" s="18"/>
      <c r="B35" s="46"/>
      <c r="C35" s="18"/>
      <c r="D35" s="18"/>
      <c r="E35" s="18"/>
      <c r="F35" s="18"/>
      <c r="G35" s="18"/>
      <c r="H35" s="18"/>
      <c r="I35" s="18"/>
      <c r="J35" s="18"/>
    </row>
    <row r="36" spans="1:10" x14ac:dyDescent="0.2">
      <c r="A36" s="18"/>
      <c r="B36" s="46" t="s">
        <v>177</v>
      </c>
      <c r="C36" s="18"/>
      <c r="D36" s="18"/>
      <c r="E36" s="18"/>
      <c r="F36" s="18"/>
      <c r="G36" s="18"/>
      <c r="H36" s="18"/>
      <c r="I36" s="18"/>
      <c r="J36" s="18"/>
    </row>
    <row r="37" spans="1:10" x14ac:dyDescent="0.2">
      <c r="A37" s="18"/>
      <c r="B37" s="18"/>
      <c r="C37" s="18"/>
      <c r="D37" s="18"/>
      <c r="E37" s="18"/>
      <c r="F37" s="18"/>
      <c r="G37" s="18"/>
      <c r="H37" s="18"/>
      <c r="I37" s="18"/>
      <c r="J37" s="18"/>
    </row>
    <row r="38" spans="1:10" x14ac:dyDescent="0.2">
      <c r="B38" s="18" t="s">
        <v>183</v>
      </c>
      <c r="C38" s="18"/>
      <c r="D38" s="18"/>
      <c r="E38" s="18"/>
      <c r="F38" s="18"/>
      <c r="G38" s="18"/>
      <c r="H38" s="18"/>
      <c r="I38" s="18"/>
      <c r="J38" s="18"/>
    </row>
    <row r="39" spans="1:10" x14ac:dyDescent="0.2">
      <c r="F39" s="18"/>
      <c r="G39" s="18"/>
      <c r="H39" s="18"/>
      <c r="I39" s="18"/>
      <c r="J39" s="18"/>
    </row>
  </sheetData>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B2:R36"/>
  <sheetViews>
    <sheetView showGridLines="0" workbookViewId="0">
      <selection activeCell="G5" sqref="G5:G17"/>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4" t="s">
        <v>165</v>
      </c>
    </row>
    <row r="3" spans="2:18" x14ac:dyDescent="0.2">
      <c r="B3" t="s">
        <v>4</v>
      </c>
      <c r="G3" s="1" t="s">
        <v>166</v>
      </c>
      <c r="H3" s="1" t="s">
        <v>118</v>
      </c>
      <c r="I3" s="1"/>
      <c r="P3" s="10"/>
      <c r="R3" s="10"/>
    </row>
    <row r="4" spans="2:18" x14ac:dyDescent="0.2">
      <c r="N4" s="36"/>
    </row>
    <row r="5" spans="2:18" x14ac:dyDescent="0.2">
      <c r="B5" s="2" t="s">
        <v>143</v>
      </c>
      <c r="G5" s="37">
        <f>G7-G6</f>
        <v>8844</v>
      </c>
      <c r="H5" s="37">
        <f>H7-H6</f>
        <v>8245</v>
      </c>
      <c r="I5" s="6"/>
    </row>
    <row r="6" spans="2:18" x14ac:dyDescent="0.2">
      <c r="B6" t="s">
        <v>27</v>
      </c>
      <c r="G6" s="38">
        <f>-33-15</f>
        <v>-48</v>
      </c>
      <c r="H6" s="38">
        <f>48</f>
        <v>48</v>
      </c>
      <c r="I6" s="7"/>
    </row>
    <row r="7" spans="2:18" x14ac:dyDescent="0.2">
      <c r="B7" s="2" t="s">
        <v>145</v>
      </c>
      <c r="G7" s="37">
        <v>8796</v>
      </c>
      <c r="H7" s="37">
        <v>8293</v>
      </c>
      <c r="I7" s="6"/>
    </row>
    <row r="8" spans="2:18" x14ac:dyDescent="0.2">
      <c r="B8" t="s">
        <v>22</v>
      </c>
      <c r="G8" s="37">
        <f>-59-40-126-45</f>
        <v>-270</v>
      </c>
      <c r="H8" s="6">
        <v>24</v>
      </c>
      <c r="I8" s="6"/>
    </row>
    <row r="9" spans="2:18" x14ac:dyDescent="0.2">
      <c r="B9" s="2" t="s">
        <v>2</v>
      </c>
      <c r="G9" s="37">
        <f>G7+G8</f>
        <v>8526</v>
      </c>
      <c r="H9" s="37">
        <v>8316</v>
      </c>
      <c r="I9" s="6"/>
    </row>
    <row r="10" spans="2:18" x14ac:dyDescent="0.2">
      <c r="B10" t="s">
        <v>15</v>
      </c>
      <c r="G10" s="37">
        <v>-3430</v>
      </c>
      <c r="H10" s="37">
        <v>-3799</v>
      </c>
      <c r="I10" s="6"/>
      <c r="N10" s="36"/>
      <c r="P10" s="10"/>
    </row>
    <row r="11" spans="2:18" x14ac:dyDescent="0.2">
      <c r="B11" s="10" t="s">
        <v>136</v>
      </c>
      <c r="G11" s="37">
        <v>-1</v>
      </c>
      <c r="H11" s="37">
        <v>-10</v>
      </c>
      <c r="I11" s="6"/>
      <c r="N11" s="36"/>
    </row>
    <row r="12" spans="2:18" x14ac:dyDescent="0.2">
      <c r="B12" s="2" t="s">
        <v>3</v>
      </c>
      <c r="G12" s="37">
        <f>G9+G10+G11</f>
        <v>5095</v>
      </c>
      <c r="H12" s="37">
        <f>H9+H10+H11</f>
        <v>4507</v>
      </c>
      <c r="I12" s="6"/>
    </row>
    <row r="13" spans="2:18" x14ac:dyDescent="0.2">
      <c r="B13" t="s">
        <v>26</v>
      </c>
      <c r="G13" s="37">
        <f>G8</f>
        <v>-270</v>
      </c>
      <c r="H13" s="37">
        <f>H8</f>
        <v>24</v>
      </c>
      <c r="I13" s="6"/>
    </row>
    <row r="14" spans="2:18" x14ac:dyDescent="0.2">
      <c r="B14" s="2" t="s">
        <v>20</v>
      </c>
      <c r="G14" s="37">
        <f>G11</f>
        <v>-1</v>
      </c>
      <c r="H14" s="37">
        <f>H11</f>
        <v>-10</v>
      </c>
      <c r="I14" s="6"/>
      <c r="N14" s="36"/>
    </row>
    <row r="15" spans="2:18" x14ac:dyDescent="0.2">
      <c r="B15" s="2" t="s">
        <v>21</v>
      </c>
      <c r="G15" s="37">
        <f>G12-G13-G14</f>
        <v>5366</v>
      </c>
      <c r="H15" s="37">
        <f>H12-H13-H14</f>
        <v>4493</v>
      </c>
      <c r="I15" s="6"/>
    </row>
    <row r="16" spans="2:18" x14ac:dyDescent="0.2">
      <c r="B16" t="s">
        <v>28</v>
      </c>
      <c r="G16" s="37">
        <f>G6</f>
        <v>-48</v>
      </c>
      <c r="H16" s="37">
        <f>H6</f>
        <v>48</v>
      </c>
      <c r="I16" s="6"/>
    </row>
    <row r="17" spans="2:10" x14ac:dyDescent="0.2">
      <c r="B17" s="2" t="s">
        <v>144</v>
      </c>
      <c r="G17" s="37">
        <f>G15-G16</f>
        <v>5414</v>
      </c>
      <c r="H17" s="37">
        <f>H15-H16</f>
        <v>4445</v>
      </c>
      <c r="I17" s="6"/>
    </row>
    <row r="19" spans="2:10" s="10" customFormat="1" x14ac:dyDescent="0.2"/>
    <row r="20" spans="2:10" x14ac:dyDescent="0.2">
      <c r="B20" s="40" t="s">
        <v>141</v>
      </c>
    </row>
    <row r="21" spans="2:10" x14ac:dyDescent="0.2">
      <c r="B21" s="40"/>
    </row>
    <row r="22" spans="2:10" ht="15.75" x14ac:dyDescent="0.25">
      <c r="B22" s="4" t="s">
        <v>129</v>
      </c>
    </row>
    <row r="23" spans="2:10" ht="15.75" x14ac:dyDescent="0.25">
      <c r="B23" s="4"/>
    </row>
    <row r="24" spans="2:10" x14ac:dyDescent="0.2">
      <c r="B24" s="40" t="s">
        <v>172</v>
      </c>
    </row>
    <row r="25" spans="2:10" x14ac:dyDescent="0.2">
      <c r="B25" s="40" t="s">
        <v>173</v>
      </c>
    </row>
    <row r="26" spans="2:10" x14ac:dyDescent="0.2">
      <c r="B26" s="40"/>
    </row>
    <row r="27" spans="2:10" ht="15.75" x14ac:dyDescent="0.25">
      <c r="B27" s="4" t="s">
        <v>147</v>
      </c>
      <c r="D27" s="36"/>
    </row>
    <row r="28" spans="2:10" ht="15.75" x14ac:dyDescent="0.25">
      <c r="B28" s="4"/>
      <c r="D28" s="36"/>
    </row>
    <row r="29" spans="2:10" x14ac:dyDescent="0.2">
      <c r="C29" s="10" t="s">
        <v>73</v>
      </c>
      <c r="F29" s="19" t="s">
        <v>167</v>
      </c>
      <c r="G29" s="10"/>
      <c r="J29" s="24" t="s">
        <v>168</v>
      </c>
    </row>
    <row r="30" spans="2:10" x14ac:dyDescent="0.2">
      <c r="C30" s="10" t="s">
        <v>151</v>
      </c>
      <c r="F30" s="13" t="s">
        <v>159</v>
      </c>
      <c r="G30" s="10"/>
      <c r="J30" s="24" t="s">
        <v>169</v>
      </c>
    </row>
    <row r="31" spans="2:10" x14ac:dyDescent="0.2">
      <c r="C31" s="10" t="s">
        <v>152</v>
      </c>
      <c r="F31" s="13" t="s">
        <v>171</v>
      </c>
      <c r="G31" s="10"/>
      <c r="J31" s="24" t="s">
        <v>170</v>
      </c>
    </row>
    <row r="32" spans="2:10" x14ac:dyDescent="0.2">
      <c r="B32" s="40"/>
    </row>
    <row r="33" spans="2:10" x14ac:dyDescent="0.2">
      <c r="B33" s="40" t="s">
        <v>164</v>
      </c>
    </row>
    <row r="34" spans="2:10" x14ac:dyDescent="0.2">
      <c r="F34" s="18"/>
      <c r="G34" s="18"/>
      <c r="H34" s="18"/>
      <c r="I34" s="18"/>
      <c r="J34" s="18"/>
    </row>
    <row r="35" spans="2:10" x14ac:dyDescent="0.2">
      <c r="F35" s="18"/>
      <c r="G35" s="18"/>
      <c r="H35" s="18"/>
      <c r="I35" s="18"/>
      <c r="J35" s="18"/>
    </row>
    <row r="36" spans="2:10" x14ac:dyDescent="0.2">
      <c r="F36" s="18"/>
      <c r="G36" s="18"/>
      <c r="H36" s="18"/>
      <c r="I36" s="18"/>
      <c r="J36" s="18"/>
    </row>
  </sheetData>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B2:R37"/>
  <sheetViews>
    <sheetView showGridLines="0" workbookViewId="0">
      <selection activeCell="G6" sqref="G6"/>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4" t="s">
        <v>154</v>
      </c>
    </row>
    <row r="3" spans="2:18" x14ac:dyDescent="0.2">
      <c r="B3" t="s">
        <v>4</v>
      </c>
      <c r="G3" s="1" t="s">
        <v>153</v>
      </c>
      <c r="H3" s="1" t="s">
        <v>107</v>
      </c>
      <c r="I3" s="1"/>
      <c r="P3" s="10"/>
      <c r="R3" s="10"/>
    </row>
    <row r="4" spans="2:18" x14ac:dyDescent="0.2">
      <c r="N4" s="36"/>
    </row>
    <row r="5" spans="2:18" x14ac:dyDescent="0.2">
      <c r="B5" s="2" t="s">
        <v>143</v>
      </c>
      <c r="G5" s="37">
        <f>G7-G6</f>
        <v>8112</v>
      </c>
      <c r="H5" s="6">
        <f>H7-H6</f>
        <v>7524</v>
      </c>
      <c r="I5" s="6"/>
    </row>
    <row r="6" spans="2:18" x14ac:dyDescent="0.2">
      <c r="B6" t="s">
        <v>27</v>
      </c>
      <c r="G6" s="38">
        <f>-41-104+74</f>
        <v>-71</v>
      </c>
      <c r="H6" s="38">
        <f>-114+24+23+63-63</f>
        <v>-67</v>
      </c>
      <c r="I6" s="7"/>
    </row>
    <row r="7" spans="2:18" x14ac:dyDescent="0.2">
      <c r="B7" s="2" t="s">
        <v>145</v>
      </c>
      <c r="G7" s="37">
        <v>8041</v>
      </c>
      <c r="H7" s="6">
        <v>7457</v>
      </c>
      <c r="I7" s="6"/>
    </row>
    <row r="8" spans="2:18" x14ac:dyDescent="0.2">
      <c r="B8" t="s">
        <v>22</v>
      </c>
      <c r="G8" s="37">
        <f>-47-89-41-22</f>
        <v>-199</v>
      </c>
      <c r="H8" s="37">
        <v>-216</v>
      </c>
      <c r="I8" s="6"/>
    </row>
    <row r="9" spans="2:18" x14ac:dyDescent="0.2">
      <c r="B9" s="2" t="s">
        <v>2</v>
      </c>
      <c r="G9" s="37">
        <f>G7+G8</f>
        <v>7842</v>
      </c>
      <c r="H9" s="6">
        <f>H7+H8</f>
        <v>7241</v>
      </c>
      <c r="I9" s="6"/>
    </row>
    <row r="10" spans="2:18" x14ac:dyDescent="0.2">
      <c r="B10" t="s">
        <v>15</v>
      </c>
      <c r="G10" s="37">
        <v>-3556</v>
      </c>
      <c r="H10" s="37">
        <v>-3920</v>
      </c>
      <c r="I10" s="6"/>
      <c r="N10" s="36"/>
      <c r="P10" s="10"/>
    </row>
    <row r="11" spans="2:18" x14ac:dyDescent="0.2">
      <c r="B11" s="10" t="s">
        <v>136</v>
      </c>
      <c r="G11" s="37">
        <v>0</v>
      </c>
      <c r="H11" s="37">
        <v>-60</v>
      </c>
      <c r="I11" s="6"/>
      <c r="N11" s="36"/>
    </row>
    <row r="12" spans="2:18" x14ac:dyDescent="0.2">
      <c r="B12" s="2" t="s">
        <v>3</v>
      </c>
      <c r="G12" s="37">
        <f>G9+G10+G11</f>
        <v>4286</v>
      </c>
      <c r="H12" s="6">
        <f>H9+H10+H11</f>
        <v>3261</v>
      </c>
      <c r="I12" s="6"/>
    </row>
    <row r="13" spans="2:18" x14ac:dyDescent="0.2">
      <c r="B13" t="s">
        <v>26</v>
      </c>
      <c r="G13" s="37">
        <f>G8</f>
        <v>-199</v>
      </c>
      <c r="H13" s="37">
        <f>H8</f>
        <v>-216</v>
      </c>
      <c r="I13" s="6"/>
    </row>
    <row r="14" spans="2:18" x14ac:dyDescent="0.2">
      <c r="B14" s="2" t="s">
        <v>20</v>
      </c>
      <c r="G14" s="37">
        <f>G11</f>
        <v>0</v>
      </c>
      <c r="H14" s="37">
        <f>+H11</f>
        <v>-60</v>
      </c>
      <c r="I14" s="6"/>
    </row>
    <row r="15" spans="2:18" x14ac:dyDescent="0.2">
      <c r="B15" s="2" t="s">
        <v>21</v>
      </c>
      <c r="G15" s="37">
        <f>G12-G13-G14</f>
        <v>4485</v>
      </c>
      <c r="H15" s="6">
        <f>+H12-H13-H14</f>
        <v>3537</v>
      </c>
      <c r="I15" s="6"/>
    </row>
    <row r="16" spans="2:18" x14ac:dyDescent="0.2">
      <c r="B16" t="s">
        <v>28</v>
      </c>
      <c r="G16" s="37">
        <f>G6</f>
        <v>-71</v>
      </c>
      <c r="H16" s="37">
        <f>+H6</f>
        <v>-67</v>
      </c>
      <c r="I16" s="6"/>
    </row>
    <row r="17" spans="2:10" x14ac:dyDescent="0.2">
      <c r="B17" s="2" t="s">
        <v>144</v>
      </c>
      <c r="G17" s="37">
        <f>G15-G16</f>
        <v>4556</v>
      </c>
      <c r="H17" s="6">
        <f>+H15-H16</f>
        <v>3604</v>
      </c>
      <c r="I17" s="6"/>
    </row>
    <row r="19" spans="2:10" s="10" customFormat="1" x14ac:dyDescent="0.2"/>
    <row r="20" spans="2:10" x14ac:dyDescent="0.2">
      <c r="B20" s="40" t="s">
        <v>141</v>
      </c>
    </row>
    <row r="21" spans="2:10" x14ac:dyDescent="0.2">
      <c r="B21" s="40"/>
    </row>
    <row r="22" spans="2:10" ht="15.75" x14ac:dyDescent="0.25">
      <c r="B22" s="4" t="s">
        <v>129</v>
      </c>
    </row>
    <row r="23" spans="2:10" x14ac:dyDescent="0.2">
      <c r="B23" s="40"/>
    </row>
    <row r="24" spans="2:10" x14ac:dyDescent="0.2">
      <c r="B24" s="40" t="s">
        <v>162</v>
      </c>
    </row>
    <row r="25" spans="2:10" x14ac:dyDescent="0.2">
      <c r="B25" s="40" t="s">
        <v>163</v>
      </c>
    </row>
    <row r="26" spans="2:10" x14ac:dyDescent="0.2">
      <c r="B26" s="40" t="s">
        <v>158</v>
      </c>
    </row>
    <row r="27" spans="2:10" x14ac:dyDescent="0.2">
      <c r="B27" s="40"/>
    </row>
    <row r="28" spans="2:10" ht="15.75" x14ac:dyDescent="0.25">
      <c r="B28" s="4" t="s">
        <v>147</v>
      </c>
      <c r="D28" s="36"/>
    </row>
    <row r="29" spans="2:10" ht="15.75" x14ac:dyDescent="0.25">
      <c r="B29" s="4"/>
      <c r="D29" s="36"/>
    </row>
    <row r="30" spans="2:10" x14ac:dyDescent="0.2">
      <c r="C30" s="10" t="s">
        <v>73</v>
      </c>
      <c r="F30" s="19" t="s">
        <v>160</v>
      </c>
      <c r="G30" s="10"/>
      <c r="I30" s="24" t="s">
        <v>155</v>
      </c>
      <c r="J30" s="24"/>
    </row>
    <row r="31" spans="2:10" x14ac:dyDescent="0.2">
      <c r="C31" s="10" t="s">
        <v>151</v>
      </c>
      <c r="F31" s="13" t="s">
        <v>159</v>
      </c>
      <c r="G31" s="10"/>
      <c r="I31" s="24" t="s">
        <v>156</v>
      </c>
      <c r="J31" s="24"/>
    </row>
    <row r="32" spans="2:10" x14ac:dyDescent="0.2">
      <c r="C32" s="10" t="s">
        <v>152</v>
      </c>
      <c r="F32" s="13" t="s">
        <v>161</v>
      </c>
      <c r="G32" s="10"/>
      <c r="I32" s="24" t="s">
        <v>157</v>
      </c>
      <c r="J32" s="24"/>
    </row>
    <row r="33" spans="2:10" x14ac:dyDescent="0.2">
      <c r="B33" s="40"/>
    </row>
    <row r="34" spans="2:10" x14ac:dyDescent="0.2">
      <c r="B34" s="40" t="s">
        <v>164</v>
      </c>
    </row>
    <row r="35" spans="2:10" x14ac:dyDescent="0.2">
      <c r="F35" s="18"/>
      <c r="G35" s="18"/>
      <c r="H35" s="18"/>
      <c r="I35" s="18"/>
      <c r="J35" s="18"/>
    </row>
    <row r="36" spans="2:10" x14ac:dyDescent="0.2">
      <c r="F36" s="18"/>
      <c r="G36" s="18"/>
      <c r="H36" s="18"/>
      <c r="I36" s="18"/>
      <c r="J36" s="18"/>
    </row>
    <row r="37" spans="2:10" x14ac:dyDescent="0.2">
      <c r="F37" s="18"/>
      <c r="G37" s="18"/>
      <c r="H37" s="18"/>
      <c r="I37" s="18"/>
      <c r="J37" s="18"/>
    </row>
  </sheetData>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B2:R37"/>
  <sheetViews>
    <sheetView showGridLines="0" workbookViewId="0">
      <selection activeCell="G17" sqref="G17"/>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4" t="s">
        <v>135</v>
      </c>
    </row>
    <row r="3" spans="2:18" x14ac:dyDescent="0.2">
      <c r="B3" t="s">
        <v>4</v>
      </c>
      <c r="G3" s="1" t="s">
        <v>134</v>
      </c>
      <c r="H3" s="1" t="s">
        <v>104</v>
      </c>
      <c r="I3" s="1"/>
      <c r="P3" s="10"/>
      <c r="R3" s="10"/>
    </row>
    <row r="4" spans="2:18" x14ac:dyDescent="0.2">
      <c r="N4" s="36"/>
    </row>
    <row r="5" spans="2:18" x14ac:dyDescent="0.2">
      <c r="B5" s="2" t="s">
        <v>143</v>
      </c>
      <c r="G5" s="37">
        <f>G7-G6</f>
        <v>7739</v>
      </c>
      <c r="H5" s="6">
        <f>H7-H6</f>
        <v>7359</v>
      </c>
      <c r="I5" s="6"/>
    </row>
    <row r="6" spans="2:18" x14ac:dyDescent="0.2">
      <c r="B6" t="s">
        <v>27</v>
      </c>
      <c r="G6" s="38">
        <v>0</v>
      </c>
      <c r="H6" s="38">
        <v>0</v>
      </c>
      <c r="I6" s="7"/>
    </row>
    <row r="7" spans="2:18" x14ac:dyDescent="0.2">
      <c r="B7" s="2" t="s">
        <v>145</v>
      </c>
      <c r="G7" s="37">
        <v>7739</v>
      </c>
      <c r="H7" s="6">
        <v>7359</v>
      </c>
      <c r="I7" s="6"/>
    </row>
    <row r="8" spans="2:18" x14ac:dyDescent="0.2">
      <c r="B8" t="s">
        <v>22</v>
      </c>
      <c r="G8" s="37">
        <v>-121</v>
      </c>
      <c r="H8" s="6">
        <v>42</v>
      </c>
      <c r="I8" s="6"/>
    </row>
    <row r="9" spans="2:18" x14ac:dyDescent="0.2">
      <c r="B9" s="2" t="s">
        <v>2</v>
      </c>
      <c r="G9" s="37">
        <f>G7+G8</f>
        <v>7618</v>
      </c>
      <c r="H9" s="6">
        <f>H7+H8</f>
        <v>7401</v>
      </c>
      <c r="I9" s="6"/>
    </row>
    <row r="10" spans="2:18" x14ac:dyDescent="0.2">
      <c r="B10" t="s">
        <v>15</v>
      </c>
      <c r="G10" s="37">
        <v>-3736</v>
      </c>
      <c r="H10" s="37">
        <v>-3705</v>
      </c>
      <c r="I10" s="6"/>
      <c r="N10" s="36"/>
      <c r="P10" s="10"/>
    </row>
    <row r="11" spans="2:18" x14ac:dyDescent="0.2">
      <c r="B11" s="10" t="s">
        <v>136</v>
      </c>
      <c r="G11" s="37">
        <v>-3862</v>
      </c>
      <c r="H11" s="37">
        <v>0</v>
      </c>
      <c r="I11" s="6"/>
      <c r="N11" s="36"/>
    </row>
    <row r="12" spans="2:18" x14ac:dyDescent="0.2">
      <c r="B12" s="2" t="s">
        <v>3</v>
      </c>
      <c r="G12" s="37">
        <f>G9+G10+G11</f>
        <v>20</v>
      </c>
      <c r="H12" s="6">
        <f>H9+H10+H11</f>
        <v>3696</v>
      </c>
      <c r="I12" s="6"/>
    </row>
    <row r="13" spans="2:18" x14ac:dyDescent="0.2">
      <c r="B13" t="s">
        <v>26</v>
      </c>
      <c r="G13" s="37">
        <f>G8</f>
        <v>-121</v>
      </c>
      <c r="H13" s="6">
        <f>H8</f>
        <v>42</v>
      </c>
      <c r="I13" s="6"/>
    </row>
    <row r="14" spans="2:18" x14ac:dyDescent="0.2">
      <c r="B14" s="2" t="s">
        <v>20</v>
      </c>
      <c r="G14" s="37">
        <f>G11</f>
        <v>-3862</v>
      </c>
      <c r="H14" s="37">
        <f>+H11</f>
        <v>0</v>
      </c>
      <c r="I14" s="6"/>
    </row>
    <row r="15" spans="2:18" x14ac:dyDescent="0.2">
      <c r="B15" s="2" t="s">
        <v>21</v>
      </c>
      <c r="G15" s="37">
        <f>G12-G13-G14</f>
        <v>4003</v>
      </c>
      <c r="H15" s="6">
        <f>+H12-H13-H14</f>
        <v>3654</v>
      </c>
      <c r="I15" s="6"/>
    </row>
    <row r="16" spans="2:18" x14ac:dyDescent="0.2">
      <c r="B16" t="s">
        <v>28</v>
      </c>
      <c r="G16" s="37">
        <f>G6</f>
        <v>0</v>
      </c>
      <c r="H16" s="44">
        <f>+H6</f>
        <v>0</v>
      </c>
      <c r="I16" s="6"/>
    </row>
    <row r="17" spans="2:10" x14ac:dyDescent="0.2">
      <c r="B17" s="2" t="s">
        <v>144</v>
      </c>
      <c r="G17" s="37">
        <f>G15-G16</f>
        <v>4003</v>
      </c>
      <c r="H17" s="6">
        <f>+H15-H16</f>
        <v>3654</v>
      </c>
      <c r="I17" s="6"/>
    </row>
    <row r="19" spans="2:10" s="10" customFormat="1" x14ac:dyDescent="0.2">
      <c r="B19" s="10" t="s">
        <v>146</v>
      </c>
    </row>
    <row r="20" spans="2:10" s="10" customFormat="1" x14ac:dyDescent="0.2"/>
    <row r="21" spans="2:10" x14ac:dyDescent="0.2">
      <c r="B21" s="40" t="s">
        <v>141</v>
      </c>
    </row>
    <row r="22" spans="2:10" x14ac:dyDescent="0.2">
      <c r="B22" s="40"/>
    </row>
    <row r="23" spans="2:10" ht="15.75" x14ac:dyDescent="0.25">
      <c r="B23" s="4" t="s">
        <v>129</v>
      </c>
    </row>
    <row r="24" spans="2:10" x14ac:dyDescent="0.2">
      <c r="B24" s="40"/>
    </row>
    <row r="25" spans="2:10" x14ac:dyDescent="0.2">
      <c r="B25" s="40" t="s">
        <v>137</v>
      </c>
    </row>
    <row r="26" spans="2:10" x14ac:dyDescent="0.2">
      <c r="B26" s="40" t="s">
        <v>142</v>
      </c>
    </row>
    <row r="27" spans="2:10" x14ac:dyDescent="0.2">
      <c r="B27" s="40" t="s">
        <v>149</v>
      </c>
    </row>
    <row r="28" spans="2:10" x14ac:dyDescent="0.2">
      <c r="B28" s="40"/>
    </row>
    <row r="29" spans="2:10" ht="15.75" x14ac:dyDescent="0.25">
      <c r="B29" s="4" t="s">
        <v>147</v>
      </c>
      <c r="D29" s="36"/>
    </row>
    <row r="30" spans="2:10" ht="15.75" x14ac:dyDescent="0.25">
      <c r="B30" s="4"/>
      <c r="D30" s="36"/>
    </row>
    <row r="31" spans="2:10" s="2" customFormat="1" x14ac:dyDescent="0.2">
      <c r="B31" s="10" t="s">
        <v>150</v>
      </c>
      <c r="D31" s="43"/>
    </row>
    <row r="32" spans="2:10" x14ac:dyDescent="0.2">
      <c r="I32" s="188"/>
      <c r="J32" s="188"/>
    </row>
    <row r="33" spans="2:10" x14ac:dyDescent="0.2">
      <c r="C33" s="10" t="s">
        <v>73</v>
      </c>
      <c r="F33" s="19" t="s">
        <v>140</v>
      </c>
      <c r="G33" s="10"/>
      <c r="H33" s="24"/>
      <c r="I33" s="24"/>
      <c r="J33" s="24"/>
    </row>
    <row r="34" spans="2:10" x14ac:dyDescent="0.2">
      <c r="C34" s="10" t="s">
        <v>151</v>
      </c>
      <c r="F34" s="13" t="s">
        <v>138</v>
      </c>
      <c r="G34" s="10"/>
      <c r="H34" s="24"/>
      <c r="I34" s="24"/>
      <c r="J34" s="26"/>
    </row>
    <row r="35" spans="2:10" x14ac:dyDescent="0.2">
      <c r="C35" s="10" t="s">
        <v>152</v>
      </c>
      <c r="F35" s="13" t="s">
        <v>139</v>
      </c>
      <c r="G35" s="10"/>
      <c r="H35" s="24"/>
      <c r="I35" s="24"/>
      <c r="J35" s="26"/>
    </row>
    <row r="36" spans="2:10" x14ac:dyDescent="0.2">
      <c r="F36" s="10"/>
      <c r="G36" s="10"/>
      <c r="H36" s="24"/>
      <c r="I36" s="24"/>
      <c r="J36" s="27"/>
    </row>
    <row r="37" spans="2:10" s="2" customFormat="1" x14ac:dyDescent="0.2">
      <c r="B37" s="45" t="s">
        <v>148</v>
      </c>
      <c r="D37" s="43"/>
      <c r="F37" s="2" t="s">
        <v>100</v>
      </c>
    </row>
  </sheetData>
  <mergeCells count="1">
    <mergeCell ref="I32:J32"/>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B2:R44"/>
  <sheetViews>
    <sheetView showGridLines="0" workbookViewId="0">
      <selection activeCell="G5" sqref="G5:G17"/>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4" t="s">
        <v>124</v>
      </c>
    </row>
    <row r="3" spans="2:18" x14ac:dyDescent="0.2">
      <c r="B3" t="s">
        <v>4</v>
      </c>
      <c r="G3" s="1" t="s">
        <v>123</v>
      </c>
      <c r="H3" s="1" t="s">
        <v>97</v>
      </c>
      <c r="I3" s="1"/>
      <c r="P3" s="10"/>
      <c r="R3" s="10"/>
    </row>
    <row r="4" spans="2:18" x14ac:dyDescent="0.2">
      <c r="N4" s="36"/>
    </row>
    <row r="5" spans="2:18" x14ac:dyDescent="0.2">
      <c r="B5" s="2" t="s">
        <v>25</v>
      </c>
      <c r="G5" s="37">
        <f>G7-G6</f>
        <v>7625</v>
      </c>
      <c r="H5" s="6">
        <f>H7-H6</f>
        <v>7404</v>
      </c>
      <c r="I5" s="6"/>
    </row>
    <row r="6" spans="2:18" x14ac:dyDescent="0.2">
      <c r="B6" t="s">
        <v>27</v>
      </c>
      <c r="G6" s="38">
        <f>115-60-69-30-48+44-160</f>
        <v>-208</v>
      </c>
      <c r="H6" s="38">
        <f>75-300</f>
        <v>-225</v>
      </c>
      <c r="I6" s="7"/>
    </row>
    <row r="7" spans="2:18" x14ac:dyDescent="0.2">
      <c r="B7" s="2" t="s">
        <v>23</v>
      </c>
      <c r="G7" s="37">
        <v>7417</v>
      </c>
      <c r="H7" s="6">
        <v>7179</v>
      </c>
      <c r="I7" s="6"/>
    </row>
    <row r="8" spans="2:18" x14ac:dyDescent="0.2">
      <c r="B8" t="s">
        <v>22</v>
      </c>
      <c r="G8" s="37">
        <v>-334</v>
      </c>
      <c r="H8" s="37">
        <v>-217</v>
      </c>
      <c r="I8" s="6"/>
    </row>
    <row r="9" spans="2:18" x14ac:dyDescent="0.2">
      <c r="B9" s="2" t="s">
        <v>2</v>
      </c>
      <c r="G9" s="37">
        <f>G7+G8</f>
        <v>7083</v>
      </c>
      <c r="H9" s="6">
        <f>H7+H8</f>
        <v>6962</v>
      </c>
      <c r="I9" s="6"/>
    </row>
    <row r="10" spans="2:18" x14ac:dyDescent="0.2">
      <c r="B10" t="s">
        <v>15</v>
      </c>
      <c r="G10" s="37">
        <v>-3873</v>
      </c>
      <c r="H10" s="37">
        <v>-4145</v>
      </c>
      <c r="I10" s="6"/>
      <c r="N10" s="36"/>
      <c r="P10" s="10"/>
    </row>
    <row r="11" spans="2:18" x14ac:dyDescent="0.2">
      <c r="B11" t="s">
        <v>16</v>
      </c>
      <c r="G11" s="37">
        <v>-4306</v>
      </c>
      <c r="H11" s="37">
        <v>-14</v>
      </c>
      <c r="I11" s="6"/>
      <c r="N11" s="36"/>
    </row>
    <row r="12" spans="2:18" x14ac:dyDescent="0.2">
      <c r="B12" s="2" t="s">
        <v>3</v>
      </c>
      <c r="G12" s="37">
        <f>G9+G10+G11</f>
        <v>-1096</v>
      </c>
      <c r="H12" s="6">
        <f>H9+H10+H11</f>
        <v>2803</v>
      </c>
      <c r="I12" s="6"/>
    </row>
    <row r="13" spans="2:18" x14ac:dyDescent="0.2">
      <c r="B13" t="s">
        <v>26</v>
      </c>
      <c r="G13" s="37">
        <f>G8</f>
        <v>-334</v>
      </c>
      <c r="H13" s="37">
        <f>H8</f>
        <v>-217</v>
      </c>
      <c r="I13" s="6"/>
    </row>
    <row r="14" spans="2:18" x14ac:dyDescent="0.2">
      <c r="B14" s="2" t="s">
        <v>20</v>
      </c>
      <c r="G14" s="37">
        <f>G11</f>
        <v>-4306</v>
      </c>
      <c r="H14" s="37">
        <f>+H11</f>
        <v>-14</v>
      </c>
      <c r="I14" s="6"/>
    </row>
    <row r="15" spans="2:18" x14ac:dyDescent="0.2">
      <c r="B15" s="2" t="s">
        <v>21</v>
      </c>
      <c r="G15" s="37">
        <f>G12-G13-G14</f>
        <v>3544</v>
      </c>
      <c r="H15" s="6">
        <f>+H12-H13-H14</f>
        <v>3034</v>
      </c>
      <c r="I15" s="6"/>
    </row>
    <row r="16" spans="2:18" x14ac:dyDescent="0.2">
      <c r="B16" t="s">
        <v>28</v>
      </c>
      <c r="G16" s="37">
        <f>G6</f>
        <v>-208</v>
      </c>
      <c r="H16" s="37">
        <f>+H6</f>
        <v>-225</v>
      </c>
      <c r="I16" s="6"/>
    </row>
    <row r="17" spans="2:9" x14ac:dyDescent="0.2">
      <c r="B17" s="2" t="s">
        <v>24</v>
      </c>
      <c r="G17" s="37">
        <f>G15-G16</f>
        <v>3752</v>
      </c>
      <c r="H17" s="6">
        <f>+H15-H16</f>
        <v>3259</v>
      </c>
      <c r="I17" s="6"/>
    </row>
    <row r="19" spans="2:9" x14ac:dyDescent="0.2">
      <c r="B19" s="40" t="s">
        <v>32</v>
      </c>
    </row>
    <row r="20" spans="2:9" x14ac:dyDescent="0.2">
      <c r="B20" s="40"/>
    </row>
    <row r="21" spans="2:9" ht="15.75" x14ac:dyDescent="0.25">
      <c r="B21" s="4" t="s">
        <v>129</v>
      </c>
    </row>
    <row r="22" spans="2:9" x14ac:dyDescent="0.2">
      <c r="B22" s="40"/>
    </row>
    <row r="23" spans="2:9" x14ac:dyDescent="0.2">
      <c r="B23" s="42" t="s">
        <v>130</v>
      </c>
    </row>
    <row r="24" spans="2:9" x14ac:dyDescent="0.2">
      <c r="B24" s="40" t="s">
        <v>131</v>
      </c>
    </row>
    <row r="25" spans="2:9" x14ac:dyDescent="0.2">
      <c r="B25" s="40"/>
    </row>
    <row r="26" spans="2:9" ht="15.75" x14ac:dyDescent="0.25">
      <c r="B26" s="4" t="s">
        <v>128</v>
      </c>
    </row>
    <row r="27" spans="2:9" x14ac:dyDescent="0.2">
      <c r="B27" s="40"/>
    </row>
    <row r="28" spans="2:9" x14ac:dyDescent="0.2">
      <c r="B28" s="10" t="s">
        <v>132</v>
      </c>
    </row>
    <row r="29" spans="2:9" x14ac:dyDescent="0.2">
      <c r="B29" s="10" t="s">
        <v>133</v>
      </c>
    </row>
    <row r="30" spans="2:9" x14ac:dyDescent="0.2">
      <c r="B30" s="10"/>
    </row>
    <row r="31" spans="2:9" x14ac:dyDescent="0.2">
      <c r="B31" s="10"/>
    </row>
    <row r="32" spans="2:9" ht="15.75" x14ac:dyDescent="0.25">
      <c r="B32" s="4" t="s">
        <v>122</v>
      </c>
      <c r="D32" s="36"/>
    </row>
    <row r="33" spans="2:10" x14ac:dyDescent="0.2">
      <c r="I33" s="188"/>
      <c r="J33" s="188"/>
    </row>
    <row r="34" spans="2:10" x14ac:dyDescent="0.2">
      <c r="B34" s="2" t="s">
        <v>56</v>
      </c>
      <c r="F34" s="10"/>
      <c r="H34" s="41"/>
      <c r="I34" s="24"/>
      <c r="J34" s="24"/>
    </row>
    <row r="35" spans="2:10" x14ac:dyDescent="0.2">
      <c r="C35" s="10" t="s">
        <v>73</v>
      </c>
      <c r="F35" s="19" t="s">
        <v>92</v>
      </c>
      <c r="G35" s="10"/>
      <c r="H35" s="24"/>
      <c r="I35" s="24"/>
      <c r="J35" s="24"/>
    </row>
    <row r="36" spans="2:10" x14ac:dyDescent="0.2">
      <c r="C36" t="s">
        <v>6</v>
      </c>
      <c r="F36" s="13" t="s">
        <v>125</v>
      </c>
      <c r="G36" s="10"/>
      <c r="H36" s="24"/>
      <c r="I36" s="24"/>
      <c r="J36" s="26"/>
    </row>
    <row r="37" spans="2:10" x14ac:dyDescent="0.2">
      <c r="C37" t="s">
        <v>7</v>
      </c>
      <c r="F37" s="13" t="s">
        <v>69</v>
      </c>
      <c r="G37" s="10"/>
      <c r="H37" s="24"/>
      <c r="I37" s="24"/>
      <c r="J37" s="26"/>
    </row>
    <row r="38" spans="2:10" x14ac:dyDescent="0.2">
      <c r="F38" s="10"/>
      <c r="G38" s="10"/>
      <c r="H38" s="24"/>
      <c r="I38" s="24"/>
      <c r="J38" s="27"/>
    </row>
    <row r="39" spans="2:10" x14ac:dyDescent="0.2">
      <c r="B39" s="2" t="s">
        <v>8</v>
      </c>
      <c r="F39" s="10"/>
      <c r="G39" s="10"/>
      <c r="H39" s="24"/>
      <c r="I39" s="24"/>
      <c r="J39" s="27"/>
    </row>
    <row r="40" spans="2:10" x14ac:dyDescent="0.2">
      <c r="C40" t="s">
        <v>10</v>
      </c>
      <c r="F40" s="10" t="s">
        <v>126</v>
      </c>
      <c r="G40" s="10"/>
      <c r="H40" s="24"/>
      <c r="I40" s="24"/>
      <c r="J40" s="27"/>
    </row>
    <row r="41" spans="2:10" x14ac:dyDescent="0.2">
      <c r="C41" t="s">
        <v>11</v>
      </c>
      <c r="F41" s="10" t="s">
        <v>127</v>
      </c>
      <c r="G41" s="10"/>
      <c r="H41" s="24"/>
      <c r="I41" s="24"/>
      <c r="J41" s="27"/>
    </row>
    <row r="42" spans="2:10" x14ac:dyDescent="0.2">
      <c r="H42" s="24"/>
      <c r="I42" s="24"/>
    </row>
    <row r="43" spans="2:10" s="18" customFormat="1" x14ac:dyDescent="0.2">
      <c r="B43" s="13" t="s">
        <v>98</v>
      </c>
      <c r="F43" s="13" t="s">
        <v>99</v>
      </c>
      <c r="H43" s="15"/>
      <c r="I43" s="15"/>
    </row>
    <row r="44" spans="2:10" x14ac:dyDescent="0.2">
      <c r="F44" s="28" t="s">
        <v>100</v>
      </c>
    </row>
  </sheetData>
  <mergeCells count="1">
    <mergeCell ref="I33:J33"/>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B2:R34"/>
  <sheetViews>
    <sheetView showGridLines="0" topLeftCell="A5" workbookViewId="0">
      <selection activeCell="G5" sqref="G5:G17"/>
    </sheetView>
  </sheetViews>
  <sheetFormatPr defaultColWidth="9.140625" defaultRowHeight="12.75" x14ac:dyDescent="0.2"/>
  <cols>
    <col min="1" max="1" width="3.42578125" customWidth="1"/>
    <col min="6" max="6" width="8.42578125" customWidth="1"/>
    <col min="9" max="9" width="14.140625" customWidth="1"/>
    <col min="10" max="10" width="18.28515625" customWidth="1"/>
    <col min="13" max="13" width="8.140625" customWidth="1"/>
    <col min="16" max="16" width="6.42578125" customWidth="1"/>
  </cols>
  <sheetData>
    <row r="2" spans="2:18" ht="15.75" x14ac:dyDescent="0.25">
      <c r="B2" s="4" t="s">
        <v>117</v>
      </c>
    </row>
    <row r="3" spans="2:18" x14ac:dyDescent="0.2">
      <c r="B3" t="s">
        <v>4</v>
      </c>
      <c r="G3" s="1" t="s">
        <v>118</v>
      </c>
      <c r="H3" s="1" t="s">
        <v>75</v>
      </c>
      <c r="I3" s="1"/>
      <c r="P3" s="10"/>
      <c r="R3" s="10"/>
    </row>
    <row r="4" spans="2:18" x14ac:dyDescent="0.2">
      <c r="N4" s="36"/>
    </row>
    <row r="5" spans="2:18" x14ac:dyDescent="0.2">
      <c r="B5" s="2" t="s">
        <v>25</v>
      </c>
      <c r="G5" s="37">
        <f>G7-G6</f>
        <v>8316</v>
      </c>
      <c r="H5" s="6">
        <f>H7-H6</f>
        <v>7693</v>
      </c>
      <c r="I5" s="6"/>
    </row>
    <row r="6" spans="2:18" x14ac:dyDescent="0.2">
      <c r="B6" t="s">
        <v>27</v>
      </c>
      <c r="G6" s="38">
        <f>-71+48</f>
        <v>-23</v>
      </c>
      <c r="H6" s="7">
        <f>123+64-33+38</f>
        <v>192</v>
      </c>
      <c r="I6" s="7"/>
    </row>
    <row r="7" spans="2:18" x14ac:dyDescent="0.2">
      <c r="B7" s="2" t="s">
        <v>23</v>
      </c>
      <c r="G7" s="37">
        <v>8293</v>
      </c>
      <c r="H7" s="6">
        <v>7885</v>
      </c>
      <c r="I7" s="6"/>
    </row>
    <row r="8" spans="2:18" x14ac:dyDescent="0.2">
      <c r="B8" t="s">
        <v>22</v>
      </c>
      <c r="G8" s="6">
        <v>24</v>
      </c>
      <c r="H8" s="6">
        <v>-139</v>
      </c>
      <c r="I8" s="6"/>
    </row>
    <row r="9" spans="2:18" x14ac:dyDescent="0.2">
      <c r="B9" s="2" t="s">
        <v>2</v>
      </c>
      <c r="G9" s="37">
        <v>8316</v>
      </c>
      <c r="H9" s="6">
        <f>H7+H8</f>
        <v>7746</v>
      </c>
      <c r="I9" s="6"/>
    </row>
    <row r="10" spans="2:18" x14ac:dyDescent="0.2">
      <c r="B10" t="s">
        <v>15</v>
      </c>
      <c r="G10" s="37">
        <v>-3799</v>
      </c>
      <c r="H10" s="6">
        <v>-3994</v>
      </c>
      <c r="I10" s="6"/>
      <c r="N10" s="36"/>
      <c r="P10" s="10"/>
    </row>
    <row r="11" spans="2:18" x14ac:dyDescent="0.2">
      <c r="B11" t="s">
        <v>16</v>
      </c>
      <c r="G11" s="37">
        <v>-10</v>
      </c>
      <c r="H11" s="6">
        <v>0</v>
      </c>
      <c r="I11" s="6"/>
      <c r="N11" s="36"/>
    </row>
    <row r="12" spans="2:18" x14ac:dyDescent="0.2">
      <c r="B12" s="2" t="s">
        <v>3</v>
      </c>
      <c r="G12" s="37">
        <f>G9+G10+G11</f>
        <v>4507</v>
      </c>
      <c r="H12" s="6">
        <f>H9+H10+H11</f>
        <v>3752</v>
      </c>
      <c r="I12" s="6"/>
    </row>
    <row r="13" spans="2:18" x14ac:dyDescent="0.2">
      <c r="B13" t="s">
        <v>26</v>
      </c>
      <c r="G13" s="37">
        <f>G8</f>
        <v>24</v>
      </c>
      <c r="H13" s="6">
        <f>H8</f>
        <v>-139</v>
      </c>
      <c r="I13" s="6"/>
    </row>
    <row r="14" spans="2:18" x14ac:dyDescent="0.2">
      <c r="B14" s="2" t="s">
        <v>20</v>
      </c>
      <c r="G14" s="37">
        <f>G11</f>
        <v>-10</v>
      </c>
      <c r="H14" s="6">
        <f>+H11</f>
        <v>0</v>
      </c>
      <c r="I14" s="6"/>
    </row>
    <row r="15" spans="2:18" x14ac:dyDescent="0.2">
      <c r="B15" s="2" t="s">
        <v>21</v>
      </c>
      <c r="G15" s="37">
        <f>G12-G13-G14</f>
        <v>4493</v>
      </c>
      <c r="H15" s="6">
        <f>+H12-H13-H14</f>
        <v>3891</v>
      </c>
      <c r="I15" s="6"/>
    </row>
    <row r="16" spans="2:18" x14ac:dyDescent="0.2">
      <c r="B16" t="s">
        <v>28</v>
      </c>
      <c r="G16" s="37">
        <f>G6</f>
        <v>-23</v>
      </c>
      <c r="H16" s="6">
        <f>+H6</f>
        <v>192</v>
      </c>
      <c r="I16" s="6"/>
    </row>
    <row r="17" spans="2:10" x14ac:dyDescent="0.2">
      <c r="B17" s="2" t="s">
        <v>24</v>
      </c>
      <c r="G17" s="37">
        <f>G15-G16</f>
        <v>4516</v>
      </c>
      <c r="H17" s="6">
        <f>+H15-H16</f>
        <v>3699</v>
      </c>
      <c r="I17" s="6"/>
    </row>
    <row r="19" spans="2:10" x14ac:dyDescent="0.2">
      <c r="B19" s="40" t="s">
        <v>32</v>
      </c>
    </row>
    <row r="21" spans="2:10" x14ac:dyDescent="0.2">
      <c r="B21" s="10"/>
    </row>
    <row r="22" spans="2:10" ht="15.75" x14ac:dyDescent="0.25">
      <c r="B22" s="4" t="s">
        <v>101</v>
      </c>
      <c r="D22" s="36"/>
    </row>
    <row r="23" spans="2:10" x14ac:dyDescent="0.2">
      <c r="I23" s="188"/>
      <c r="J23" s="188"/>
    </row>
    <row r="24" spans="2:10" x14ac:dyDescent="0.2">
      <c r="B24" s="2" t="s">
        <v>56</v>
      </c>
      <c r="F24" s="10"/>
      <c r="H24" s="39" t="s">
        <v>116</v>
      </c>
      <c r="I24" s="21"/>
      <c r="J24" s="24"/>
    </row>
    <row r="25" spans="2:10" x14ac:dyDescent="0.2">
      <c r="C25" s="10" t="s">
        <v>73</v>
      </c>
      <c r="F25" s="19" t="s">
        <v>119</v>
      </c>
      <c r="G25" s="10"/>
      <c r="H25" s="21" t="s">
        <v>92</v>
      </c>
      <c r="I25" s="21"/>
      <c r="J25" s="24"/>
    </row>
    <row r="26" spans="2:10" x14ac:dyDescent="0.2">
      <c r="C26" t="s">
        <v>6</v>
      </c>
      <c r="F26" s="13" t="s">
        <v>120</v>
      </c>
      <c r="G26" s="10"/>
      <c r="H26" s="21" t="s">
        <v>93</v>
      </c>
      <c r="I26" s="21"/>
      <c r="J26" s="26"/>
    </row>
    <row r="27" spans="2:10" x14ac:dyDescent="0.2">
      <c r="C27" t="s">
        <v>7</v>
      </c>
      <c r="F27" s="13" t="s">
        <v>108</v>
      </c>
      <c r="G27" s="10"/>
      <c r="H27" s="21" t="s">
        <v>108</v>
      </c>
      <c r="I27" s="21"/>
      <c r="J27" s="26"/>
    </row>
    <row r="28" spans="2:10" x14ac:dyDescent="0.2">
      <c r="F28" s="10"/>
      <c r="G28" s="10"/>
      <c r="H28" s="21"/>
      <c r="I28" s="21"/>
      <c r="J28" s="27"/>
    </row>
    <row r="29" spans="2:10" x14ac:dyDescent="0.2">
      <c r="B29" s="2" t="s">
        <v>8</v>
      </c>
      <c r="F29" s="10"/>
      <c r="G29" s="10"/>
      <c r="H29" s="21"/>
      <c r="I29" s="21"/>
      <c r="J29" s="27"/>
    </row>
    <row r="30" spans="2:10" x14ac:dyDescent="0.2">
      <c r="C30" t="s">
        <v>10</v>
      </c>
      <c r="F30" s="10" t="s">
        <v>121</v>
      </c>
      <c r="G30" s="10"/>
      <c r="H30" s="21" t="s">
        <v>94</v>
      </c>
      <c r="I30" s="21"/>
      <c r="J30" s="27"/>
    </row>
    <row r="31" spans="2:10" x14ac:dyDescent="0.2">
      <c r="C31" t="s">
        <v>11</v>
      </c>
      <c r="F31" s="10" t="s">
        <v>115</v>
      </c>
      <c r="G31" s="10"/>
      <c r="H31" s="21" t="s">
        <v>115</v>
      </c>
      <c r="I31" s="21"/>
      <c r="J31" s="27"/>
    </row>
    <row r="32" spans="2:10" x14ac:dyDescent="0.2">
      <c r="H32" s="21"/>
      <c r="I32" s="21"/>
    </row>
    <row r="33" spans="2:9" x14ac:dyDescent="0.2">
      <c r="B33" s="10" t="s">
        <v>98</v>
      </c>
      <c r="F33" s="10" t="s">
        <v>93</v>
      </c>
      <c r="H33" s="21" t="s">
        <v>99</v>
      </c>
      <c r="I33" s="21"/>
    </row>
    <row r="34" spans="2:9" x14ac:dyDescent="0.2">
      <c r="F34" s="28" t="s">
        <v>100</v>
      </c>
    </row>
  </sheetData>
  <mergeCells count="1">
    <mergeCell ref="I23:J23"/>
  </mergeCells>
  <pageMargins left="0.55118110236220474" right="0.23622047244094491" top="0.98425196850393704" bottom="0.98425196850393704" header="0.51181102362204722" footer="0.51181102362204722"/>
  <pageSetup paperSize="9" scale="80" orientation="portrait" cellComments="asDisplayed" r:id="rId1"/>
  <headerFooter alignWithMargins="0"/>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B2:M41"/>
  <sheetViews>
    <sheetView showGridLines="0" workbookViewId="0">
      <selection activeCell="G5" sqref="G5:G17"/>
    </sheetView>
  </sheetViews>
  <sheetFormatPr defaultColWidth="9.140625" defaultRowHeight="12.75" x14ac:dyDescent="0.2"/>
  <cols>
    <col min="1" max="1" width="3.42578125" customWidth="1"/>
    <col min="6" max="6" width="8.42578125" customWidth="1"/>
    <col min="9" max="9" width="14.140625" customWidth="1"/>
    <col min="10" max="10" width="18.28515625" customWidth="1"/>
    <col min="12" max="12" width="8.140625" customWidth="1"/>
    <col min="15" max="15" width="6.42578125" customWidth="1"/>
  </cols>
  <sheetData>
    <row r="2" spans="2:9" ht="15.75" x14ac:dyDescent="0.25">
      <c r="B2" s="4" t="s">
        <v>106</v>
      </c>
    </row>
    <row r="3" spans="2:9" x14ac:dyDescent="0.2">
      <c r="B3" t="s">
        <v>4</v>
      </c>
      <c r="G3" s="1" t="s">
        <v>107</v>
      </c>
      <c r="H3" s="1" t="s">
        <v>65</v>
      </c>
    </row>
    <row r="5" spans="2:9" x14ac:dyDescent="0.2">
      <c r="B5" s="2" t="s">
        <v>25</v>
      </c>
      <c r="G5" s="6">
        <f>G7-G6</f>
        <v>7593</v>
      </c>
      <c r="H5" s="6">
        <f>H7-H6</f>
        <v>7006</v>
      </c>
    </row>
    <row r="6" spans="2:9" x14ac:dyDescent="0.2">
      <c r="B6" t="s">
        <v>27</v>
      </c>
      <c r="G6" s="7">
        <f>-114+24-69+23+63-63</f>
        <v>-136</v>
      </c>
      <c r="H6" s="7">
        <v>0</v>
      </c>
    </row>
    <row r="7" spans="2:9" x14ac:dyDescent="0.2">
      <c r="B7" s="2" t="s">
        <v>23</v>
      </c>
      <c r="G7" s="6">
        <v>7457</v>
      </c>
      <c r="H7" s="6">
        <v>7006</v>
      </c>
    </row>
    <row r="8" spans="2:9" x14ac:dyDescent="0.2">
      <c r="B8" t="s">
        <v>22</v>
      </c>
      <c r="G8" s="6">
        <v>-216</v>
      </c>
      <c r="H8" s="6">
        <v>-131</v>
      </c>
    </row>
    <row r="9" spans="2:9" x14ac:dyDescent="0.2">
      <c r="B9" s="2" t="s">
        <v>2</v>
      </c>
      <c r="G9" s="6">
        <f>G7+G8</f>
        <v>7241</v>
      </c>
      <c r="H9" s="6">
        <f>H7+H8</f>
        <v>6875</v>
      </c>
    </row>
    <row r="10" spans="2:9" x14ac:dyDescent="0.2">
      <c r="B10" t="s">
        <v>15</v>
      </c>
      <c r="G10" s="6">
        <v>-3920</v>
      </c>
      <c r="H10" s="6">
        <v>-4037</v>
      </c>
    </row>
    <row r="11" spans="2:9" x14ac:dyDescent="0.2">
      <c r="B11" t="s">
        <v>16</v>
      </c>
      <c r="G11" s="6">
        <v>-60</v>
      </c>
      <c r="H11" s="6">
        <v>0</v>
      </c>
    </row>
    <row r="12" spans="2:9" x14ac:dyDescent="0.2">
      <c r="B12" s="2" t="s">
        <v>3</v>
      </c>
      <c r="G12" s="6">
        <f>G9+G10+G11</f>
        <v>3261</v>
      </c>
      <c r="H12" s="6">
        <f>H9+H10+H11</f>
        <v>2838</v>
      </c>
    </row>
    <row r="13" spans="2:9" x14ac:dyDescent="0.2">
      <c r="B13" t="s">
        <v>26</v>
      </c>
      <c r="G13" s="6">
        <f>G8</f>
        <v>-216</v>
      </c>
      <c r="H13" s="6">
        <f>H8</f>
        <v>-131</v>
      </c>
    </row>
    <row r="14" spans="2:9" x14ac:dyDescent="0.2">
      <c r="B14" s="2" t="s">
        <v>20</v>
      </c>
      <c r="G14" s="6">
        <f>+G11</f>
        <v>-60</v>
      </c>
      <c r="H14" s="6">
        <f>+H11</f>
        <v>0</v>
      </c>
    </row>
    <row r="15" spans="2:9" x14ac:dyDescent="0.2">
      <c r="B15" s="2" t="s">
        <v>21</v>
      </c>
      <c r="G15" s="6">
        <f>+G12-G13-G14</f>
        <v>3537</v>
      </c>
      <c r="H15" s="6">
        <f>+H12-H13-H14</f>
        <v>2969</v>
      </c>
      <c r="I15" s="10" t="s">
        <v>109</v>
      </c>
    </row>
    <row r="16" spans="2:9" x14ac:dyDescent="0.2">
      <c r="B16" t="s">
        <v>28</v>
      </c>
      <c r="G16" s="6">
        <f>+G6</f>
        <v>-136</v>
      </c>
      <c r="H16" s="6">
        <f>+H6</f>
        <v>0</v>
      </c>
    </row>
    <row r="17" spans="2:13" x14ac:dyDescent="0.2">
      <c r="B17" s="2" t="s">
        <v>24</v>
      </c>
      <c r="G17" s="6">
        <f>+G15-G16</f>
        <v>3673</v>
      </c>
      <c r="H17" s="6">
        <f>+H15-H16</f>
        <v>2969</v>
      </c>
    </row>
    <row r="18" spans="2:13" x14ac:dyDescent="0.2">
      <c r="M18" s="10"/>
    </row>
    <row r="19" spans="2:13" x14ac:dyDescent="0.2">
      <c r="B19" s="3" t="s">
        <v>32</v>
      </c>
    </row>
    <row r="21" spans="2:13" ht="15.75" x14ac:dyDescent="0.25">
      <c r="B21" s="17" t="s">
        <v>60</v>
      </c>
      <c r="C21" s="18"/>
      <c r="D21" s="18"/>
      <c r="E21" s="18"/>
      <c r="F21" s="18"/>
      <c r="G21" s="18"/>
      <c r="H21" s="18"/>
      <c r="I21" s="18"/>
      <c r="J21" s="18"/>
      <c r="K21" s="18"/>
      <c r="L21" s="18"/>
    </row>
    <row r="22" spans="2:13" x14ac:dyDescent="0.2">
      <c r="B22" s="33" t="s">
        <v>113</v>
      </c>
      <c r="C22" s="18"/>
      <c r="D22" s="18"/>
      <c r="E22" s="18"/>
      <c r="F22" s="18"/>
      <c r="G22" s="18"/>
      <c r="H22" s="18"/>
      <c r="I22" s="18"/>
      <c r="J22" s="18"/>
      <c r="K22" s="18"/>
      <c r="L22" s="18"/>
    </row>
    <row r="23" spans="2:13" x14ac:dyDescent="0.2">
      <c r="B23" s="34" t="s">
        <v>110</v>
      </c>
      <c r="C23" s="18"/>
      <c r="D23" s="18"/>
      <c r="E23" s="18"/>
      <c r="F23" s="18"/>
      <c r="G23" s="18"/>
      <c r="H23" s="18"/>
      <c r="I23" s="18"/>
      <c r="J23" s="18"/>
      <c r="K23" s="18"/>
      <c r="L23" s="18"/>
    </row>
    <row r="24" spans="2:13" x14ac:dyDescent="0.2">
      <c r="B24" s="35" t="s">
        <v>112</v>
      </c>
    </row>
    <row r="25" spans="2:13" x14ac:dyDescent="0.2">
      <c r="B25" s="35" t="s">
        <v>111</v>
      </c>
    </row>
    <row r="26" spans="2:13" x14ac:dyDescent="0.2">
      <c r="B26" s="31"/>
    </row>
    <row r="27" spans="2:13" x14ac:dyDescent="0.2">
      <c r="B27" s="32" t="s">
        <v>114</v>
      </c>
    </row>
    <row r="28" spans="2:13" x14ac:dyDescent="0.2">
      <c r="B28" s="10"/>
    </row>
    <row r="29" spans="2:13" ht="15.75" x14ac:dyDescent="0.25">
      <c r="B29" s="4" t="s">
        <v>101</v>
      </c>
    </row>
    <row r="30" spans="2:13" x14ac:dyDescent="0.2">
      <c r="I30" s="188"/>
      <c r="J30" s="188"/>
    </row>
    <row r="31" spans="2:13" x14ac:dyDescent="0.2">
      <c r="B31" s="2" t="s">
        <v>56</v>
      </c>
      <c r="F31" s="10"/>
      <c r="H31" s="21" t="s">
        <v>55</v>
      </c>
      <c r="I31" s="21"/>
      <c r="J31" s="24"/>
    </row>
    <row r="32" spans="2:13" x14ac:dyDescent="0.2">
      <c r="C32" s="10" t="s">
        <v>73</v>
      </c>
      <c r="F32" s="19" t="s">
        <v>92</v>
      </c>
      <c r="G32" s="10"/>
      <c r="H32" s="29" t="s">
        <v>92</v>
      </c>
      <c r="I32" s="22"/>
      <c r="J32" s="24"/>
    </row>
    <row r="33" spans="2:10" x14ac:dyDescent="0.2">
      <c r="C33" t="s">
        <v>6</v>
      </c>
      <c r="F33" s="13" t="s">
        <v>93</v>
      </c>
      <c r="G33" s="10"/>
      <c r="H33" s="30" t="s">
        <v>93</v>
      </c>
      <c r="I33" s="21"/>
      <c r="J33" s="26"/>
    </row>
    <row r="34" spans="2:10" x14ac:dyDescent="0.2">
      <c r="C34" t="s">
        <v>7</v>
      </c>
      <c r="F34" s="13" t="s">
        <v>108</v>
      </c>
      <c r="G34" s="10"/>
      <c r="H34" s="30" t="s">
        <v>69</v>
      </c>
      <c r="I34" s="21"/>
      <c r="J34" s="26"/>
    </row>
    <row r="35" spans="2:10" x14ac:dyDescent="0.2">
      <c r="F35" s="10"/>
      <c r="G35" s="10"/>
      <c r="H35" s="30"/>
      <c r="I35" s="21"/>
      <c r="J35" s="27"/>
    </row>
    <row r="36" spans="2:10" x14ac:dyDescent="0.2">
      <c r="B36" s="2" t="s">
        <v>8</v>
      </c>
      <c r="F36" s="10"/>
      <c r="G36" s="10"/>
      <c r="H36" s="30"/>
      <c r="I36" s="21"/>
      <c r="J36" s="27"/>
    </row>
    <row r="37" spans="2:10" x14ac:dyDescent="0.2">
      <c r="C37" t="s">
        <v>10</v>
      </c>
      <c r="F37" s="10" t="s">
        <v>94</v>
      </c>
      <c r="G37" s="10"/>
      <c r="H37" s="30" t="s">
        <v>94</v>
      </c>
      <c r="I37" s="21"/>
      <c r="J37" s="27"/>
    </row>
    <row r="38" spans="2:10" x14ac:dyDescent="0.2">
      <c r="C38" t="s">
        <v>11</v>
      </c>
      <c r="F38" s="10" t="s">
        <v>115</v>
      </c>
      <c r="G38" s="10"/>
      <c r="H38" s="30" t="s">
        <v>95</v>
      </c>
      <c r="I38" s="21"/>
      <c r="J38" s="27"/>
    </row>
    <row r="39" spans="2:10" x14ac:dyDescent="0.2">
      <c r="H39" s="20"/>
      <c r="I39" s="20"/>
    </row>
    <row r="40" spans="2:10" x14ac:dyDescent="0.2">
      <c r="B40" s="10" t="s">
        <v>98</v>
      </c>
      <c r="F40" s="10" t="s">
        <v>99</v>
      </c>
      <c r="H40" s="30" t="s">
        <v>99</v>
      </c>
      <c r="I40" s="20"/>
    </row>
    <row r="41" spans="2:10" x14ac:dyDescent="0.2">
      <c r="F41" s="28" t="s">
        <v>100</v>
      </c>
    </row>
  </sheetData>
  <mergeCells count="1">
    <mergeCell ref="I30:J30"/>
  </mergeCells>
  <pageMargins left="0.55118110236220474" right="0.23622047244094491" top="0.98425196850393704" bottom="0.98425196850393704" header="0.51181102362204722" footer="0.51181102362204722"/>
  <pageSetup paperSize="9" scale="80" orientation="portrait" cellComments="asDisplayed" r:id="rId1"/>
  <headerFooter alignWithMargins="0"/>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38"/>
  <sheetViews>
    <sheetView showGridLines="0" topLeftCell="A11" workbookViewId="0">
      <selection activeCell="B24" sqref="B24"/>
    </sheetView>
  </sheetViews>
  <sheetFormatPr defaultColWidth="9.140625" defaultRowHeight="12.75" x14ac:dyDescent="0.2"/>
  <cols>
    <col min="1" max="1" width="3.42578125" customWidth="1"/>
    <col min="6" max="6" width="7.140625" customWidth="1"/>
    <col min="9" max="9" width="14.140625" customWidth="1"/>
    <col min="10" max="10" width="18.28515625" customWidth="1"/>
    <col min="12" max="12" width="8.140625" customWidth="1"/>
    <col min="15" max="15" width="6.42578125" customWidth="1"/>
  </cols>
  <sheetData>
    <row r="2" spans="2:8" ht="15.75" x14ac:dyDescent="0.25">
      <c r="B2" s="4" t="s">
        <v>103</v>
      </c>
    </row>
    <row r="3" spans="2:8" x14ac:dyDescent="0.2">
      <c r="B3" t="s">
        <v>4</v>
      </c>
      <c r="G3" s="1" t="s">
        <v>104</v>
      </c>
      <c r="H3" s="1" t="s">
        <v>51</v>
      </c>
    </row>
    <row r="5" spans="2:8" x14ac:dyDescent="0.2">
      <c r="B5" s="2" t="s">
        <v>25</v>
      </c>
      <c r="G5" s="6">
        <f>G7-G6</f>
        <v>7423</v>
      </c>
      <c r="H5" s="6">
        <f>H7-H6</f>
        <v>7151</v>
      </c>
    </row>
    <row r="6" spans="2:8" x14ac:dyDescent="0.2">
      <c r="B6" t="s">
        <v>27</v>
      </c>
      <c r="G6" s="7">
        <v>-64</v>
      </c>
      <c r="H6" s="7">
        <v>0</v>
      </c>
    </row>
    <row r="7" spans="2:8" x14ac:dyDescent="0.2">
      <c r="B7" s="2" t="s">
        <v>23</v>
      </c>
      <c r="G7" s="6">
        <v>7359</v>
      </c>
      <c r="H7" s="6">
        <v>7151</v>
      </c>
    </row>
    <row r="8" spans="2:8" x14ac:dyDescent="0.2">
      <c r="B8" t="s">
        <v>22</v>
      </c>
      <c r="G8" s="6">
        <v>42</v>
      </c>
      <c r="H8" s="6">
        <v>-86</v>
      </c>
    </row>
    <row r="9" spans="2:8" x14ac:dyDescent="0.2">
      <c r="B9" s="2" t="s">
        <v>2</v>
      </c>
      <c r="G9" s="6">
        <f>G7+G8</f>
        <v>7401</v>
      </c>
      <c r="H9" s="6">
        <f>H7+H8</f>
        <v>7065</v>
      </c>
    </row>
    <row r="10" spans="2:8" x14ac:dyDescent="0.2">
      <c r="B10" t="s">
        <v>15</v>
      </c>
      <c r="G10" s="6">
        <v>-3705</v>
      </c>
      <c r="H10" s="6">
        <v>-3958</v>
      </c>
    </row>
    <row r="11" spans="2:8" x14ac:dyDescent="0.2">
      <c r="B11" t="s">
        <v>16</v>
      </c>
      <c r="G11" s="6">
        <v>0</v>
      </c>
      <c r="H11" s="6">
        <v>0</v>
      </c>
    </row>
    <row r="12" spans="2:8" x14ac:dyDescent="0.2">
      <c r="B12" s="2" t="s">
        <v>3</v>
      </c>
      <c r="G12" s="6">
        <f>G9+G10+G11</f>
        <v>3696</v>
      </c>
      <c r="H12" s="6">
        <f>H9+H10+H11</f>
        <v>3107</v>
      </c>
    </row>
    <row r="13" spans="2:8" x14ac:dyDescent="0.2">
      <c r="B13" t="s">
        <v>26</v>
      </c>
      <c r="G13" s="6">
        <f>G8</f>
        <v>42</v>
      </c>
      <c r="H13" s="6">
        <f>H8</f>
        <v>-86</v>
      </c>
    </row>
    <row r="14" spans="2:8" x14ac:dyDescent="0.2">
      <c r="B14" s="2" t="s">
        <v>20</v>
      </c>
      <c r="G14" s="6">
        <f>+G11</f>
        <v>0</v>
      </c>
      <c r="H14" s="6">
        <f>+H11</f>
        <v>0</v>
      </c>
    </row>
    <row r="15" spans="2:8" x14ac:dyDescent="0.2">
      <c r="B15" s="2" t="s">
        <v>21</v>
      </c>
      <c r="G15" s="6">
        <f>+G12-G13-G14</f>
        <v>3654</v>
      </c>
      <c r="H15" s="6">
        <f>+H12-H13-H14</f>
        <v>3193</v>
      </c>
    </row>
    <row r="16" spans="2:8" x14ac:dyDescent="0.2">
      <c r="B16" t="s">
        <v>28</v>
      </c>
      <c r="G16" s="6">
        <f>+G6</f>
        <v>-64</v>
      </c>
      <c r="H16" s="6">
        <f>+H6</f>
        <v>0</v>
      </c>
    </row>
    <row r="17" spans="2:13" x14ac:dyDescent="0.2">
      <c r="B17" s="2" t="s">
        <v>24</v>
      </c>
      <c r="G17" s="6">
        <f>+G15-G16</f>
        <v>3718</v>
      </c>
      <c r="H17" s="6">
        <f>+H15-H16</f>
        <v>3193</v>
      </c>
    </row>
    <row r="18" spans="2:13" x14ac:dyDescent="0.2">
      <c r="M18" s="10"/>
    </row>
    <row r="19" spans="2:13" x14ac:dyDescent="0.2">
      <c r="B19" s="3" t="s">
        <v>32</v>
      </c>
    </row>
    <row r="21" spans="2:13" ht="15.75" x14ac:dyDescent="0.25">
      <c r="B21" s="17" t="s">
        <v>60</v>
      </c>
      <c r="C21" s="18"/>
      <c r="D21" s="18"/>
      <c r="E21" s="18"/>
      <c r="F21" s="18"/>
      <c r="G21" s="18"/>
      <c r="H21" s="18"/>
      <c r="I21" s="18"/>
      <c r="J21" s="18"/>
      <c r="K21" s="18"/>
      <c r="L21" s="18"/>
    </row>
    <row r="22" spans="2:13" x14ac:dyDescent="0.2">
      <c r="B22" s="13" t="s">
        <v>105</v>
      </c>
      <c r="C22" s="18"/>
      <c r="D22" s="18"/>
      <c r="E22" s="18"/>
      <c r="F22" s="18"/>
      <c r="G22" s="18"/>
      <c r="H22" s="18"/>
      <c r="I22" s="18"/>
      <c r="J22" s="18"/>
      <c r="K22" s="18"/>
      <c r="L22" s="18"/>
    </row>
    <row r="23" spans="2:13" ht="15.75" x14ac:dyDescent="0.25">
      <c r="B23" s="17"/>
      <c r="C23" s="18"/>
      <c r="D23" s="18"/>
      <c r="E23" s="18"/>
      <c r="F23" s="18"/>
      <c r="G23" s="18"/>
      <c r="H23" s="18"/>
      <c r="I23" s="18"/>
      <c r="J23" s="18"/>
      <c r="K23" s="18"/>
      <c r="L23" s="18"/>
    </row>
    <row r="24" spans="2:13" x14ac:dyDescent="0.2">
      <c r="B24" s="10"/>
    </row>
    <row r="25" spans="2:13" x14ac:dyDescent="0.2">
      <c r="B25" s="10"/>
    </row>
    <row r="26" spans="2:13" ht="15.75" x14ac:dyDescent="0.25">
      <c r="B26" s="4" t="s">
        <v>101</v>
      </c>
    </row>
    <row r="27" spans="2:13" x14ac:dyDescent="0.2">
      <c r="I27" s="188"/>
      <c r="J27" s="188"/>
    </row>
    <row r="28" spans="2:13" x14ac:dyDescent="0.2">
      <c r="B28" s="2" t="s">
        <v>56</v>
      </c>
      <c r="F28" s="10"/>
      <c r="H28" s="21" t="s">
        <v>55</v>
      </c>
      <c r="I28" s="21"/>
      <c r="J28" s="24"/>
    </row>
    <row r="29" spans="2:13" x14ac:dyDescent="0.2">
      <c r="C29" s="10" t="s">
        <v>73</v>
      </c>
      <c r="F29" s="19" t="s">
        <v>92</v>
      </c>
      <c r="G29" s="10"/>
      <c r="H29" s="29" t="s">
        <v>92</v>
      </c>
      <c r="I29" s="22"/>
      <c r="J29" s="24"/>
    </row>
    <row r="30" spans="2:13" x14ac:dyDescent="0.2">
      <c r="C30" t="s">
        <v>6</v>
      </c>
      <c r="F30" s="13" t="s">
        <v>93</v>
      </c>
      <c r="G30" s="10"/>
      <c r="H30" s="30" t="s">
        <v>93</v>
      </c>
      <c r="I30" s="21"/>
      <c r="J30" s="26"/>
    </row>
    <row r="31" spans="2:13" x14ac:dyDescent="0.2">
      <c r="C31" t="s">
        <v>7</v>
      </c>
      <c r="F31" s="13" t="s">
        <v>69</v>
      </c>
      <c r="G31" s="10"/>
      <c r="H31" s="30" t="s">
        <v>69</v>
      </c>
      <c r="I31" s="21"/>
      <c r="J31" s="26"/>
    </row>
    <row r="32" spans="2:13" x14ac:dyDescent="0.2">
      <c r="F32" s="10"/>
      <c r="G32" s="10"/>
      <c r="H32" s="30"/>
      <c r="I32" s="21"/>
      <c r="J32" s="27"/>
    </row>
    <row r="33" spans="2:10" x14ac:dyDescent="0.2">
      <c r="B33" s="2" t="s">
        <v>8</v>
      </c>
      <c r="F33" s="10"/>
      <c r="G33" s="10"/>
      <c r="H33" s="30"/>
      <c r="I33" s="21"/>
      <c r="J33" s="27"/>
    </row>
    <row r="34" spans="2:10" x14ac:dyDescent="0.2">
      <c r="C34" t="s">
        <v>10</v>
      </c>
      <c r="F34" s="10" t="s">
        <v>94</v>
      </c>
      <c r="G34" s="10"/>
      <c r="H34" s="30" t="s">
        <v>94</v>
      </c>
      <c r="I34" s="21"/>
      <c r="J34" s="27"/>
    </row>
    <row r="35" spans="2:10" x14ac:dyDescent="0.2">
      <c r="C35" t="s">
        <v>11</v>
      </c>
      <c r="F35" s="10" t="s">
        <v>95</v>
      </c>
      <c r="G35" s="10"/>
      <c r="H35" s="30" t="s">
        <v>95</v>
      </c>
      <c r="I35" s="21"/>
      <c r="J35" s="27"/>
    </row>
    <row r="36" spans="2:10" x14ac:dyDescent="0.2">
      <c r="H36" s="20"/>
      <c r="I36" s="20"/>
    </row>
    <row r="37" spans="2:10" x14ac:dyDescent="0.2">
      <c r="B37" s="10" t="s">
        <v>98</v>
      </c>
      <c r="F37" s="10" t="s">
        <v>99</v>
      </c>
      <c r="H37" s="30" t="s">
        <v>99</v>
      </c>
      <c r="I37" s="20"/>
    </row>
    <row r="38" spans="2:10" x14ac:dyDescent="0.2">
      <c r="F38" s="28" t="s">
        <v>100</v>
      </c>
    </row>
  </sheetData>
  <mergeCells count="1">
    <mergeCell ref="I27:J27"/>
  </mergeCells>
  <pageMargins left="0.55118110236220474" right="0.23622047244094491" top="0.98425196850393704" bottom="0.98425196850393704" header="0.51181102362204722" footer="0.51181102362204722"/>
  <pageSetup paperSize="9" scale="80" orientation="portrait" cellComments="asDisplayed"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38"/>
  <sheetViews>
    <sheetView showGridLines="0" workbookViewId="0">
      <selection activeCell="G5" sqref="G5:G17"/>
    </sheetView>
  </sheetViews>
  <sheetFormatPr defaultColWidth="9.140625" defaultRowHeight="12.75" x14ac:dyDescent="0.2"/>
  <cols>
    <col min="1" max="1" width="3.42578125" customWidth="1"/>
    <col min="6" max="6" width="7.140625" customWidth="1"/>
    <col min="9" max="9" width="14.140625" customWidth="1"/>
    <col min="10" max="10" width="18.28515625" customWidth="1"/>
    <col min="12" max="12" width="8.140625" customWidth="1"/>
    <col min="15" max="15" width="6.42578125" customWidth="1"/>
  </cols>
  <sheetData>
    <row r="2" spans="2:8" ht="15.75" x14ac:dyDescent="0.25">
      <c r="B2" s="4" t="s">
        <v>96</v>
      </c>
    </row>
    <row r="3" spans="2:8" x14ac:dyDescent="0.2">
      <c r="B3" t="s">
        <v>4</v>
      </c>
      <c r="G3" s="1" t="s">
        <v>97</v>
      </c>
      <c r="H3" s="1" t="s">
        <v>37</v>
      </c>
    </row>
    <row r="5" spans="2:8" x14ac:dyDescent="0.2">
      <c r="B5" s="2" t="s">
        <v>25</v>
      </c>
      <c r="G5" s="6">
        <f>G7-G6</f>
        <v>7104</v>
      </c>
      <c r="H5" s="6">
        <f>H7-H6</f>
        <v>6953</v>
      </c>
    </row>
    <row r="6" spans="2:8" x14ac:dyDescent="0.2">
      <c r="B6" t="s">
        <v>27</v>
      </c>
      <c r="G6" s="7">
        <v>75</v>
      </c>
      <c r="H6" s="7">
        <v>-20</v>
      </c>
    </row>
    <row r="7" spans="2:8" x14ac:dyDescent="0.2">
      <c r="B7" s="2" t="s">
        <v>23</v>
      </c>
      <c r="G7" s="6">
        <v>7179</v>
      </c>
      <c r="H7" s="6">
        <v>6933</v>
      </c>
    </row>
    <row r="8" spans="2:8" x14ac:dyDescent="0.2">
      <c r="B8" t="s">
        <v>22</v>
      </c>
      <c r="G8" s="6">
        <v>-217</v>
      </c>
      <c r="H8" s="6">
        <v>-359</v>
      </c>
    </row>
    <row r="9" spans="2:8" x14ac:dyDescent="0.2">
      <c r="B9" s="2" t="s">
        <v>2</v>
      </c>
      <c r="G9" s="6">
        <f>G7+G8</f>
        <v>6962</v>
      </c>
      <c r="H9" s="6">
        <f>H7+H8</f>
        <v>6574</v>
      </c>
    </row>
    <row r="10" spans="2:8" x14ac:dyDescent="0.2">
      <c r="B10" t="s">
        <v>15</v>
      </c>
      <c r="G10" s="6">
        <v>-4145</v>
      </c>
      <c r="H10" s="6">
        <v>-3787</v>
      </c>
    </row>
    <row r="11" spans="2:8" x14ac:dyDescent="0.2">
      <c r="B11" t="s">
        <v>16</v>
      </c>
      <c r="G11" s="6">
        <v>-14</v>
      </c>
      <c r="H11" s="6">
        <v>29</v>
      </c>
    </row>
    <row r="12" spans="2:8" x14ac:dyDescent="0.2">
      <c r="B12" s="2" t="s">
        <v>3</v>
      </c>
      <c r="G12" s="6">
        <f>G9+G10+G11</f>
        <v>2803</v>
      </c>
      <c r="H12" s="6">
        <f>H9+H10+H11</f>
        <v>2816</v>
      </c>
    </row>
    <row r="13" spans="2:8" x14ac:dyDescent="0.2">
      <c r="B13" t="s">
        <v>26</v>
      </c>
      <c r="G13" s="6">
        <f>G8</f>
        <v>-217</v>
      </c>
      <c r="H13" s="6">
        <f>H8</f>
        <v>-359</v>
      </c>
    </row>
    <row r="14" spans="2:8" x14ac:dyDescent="0.2">
      <c r="B14" s="2" t="s">
        <v>20</v>
      </c>
      <c r="G14" s="6">
        <f>+G11</f>
        <v>-14</v>
      </c>
      <c r="H14" s="6">
        <f>+H11</f>
        <v>29</v>
      </c>
    </row>
    <row r="15" spans="2:8" x14ac:dyDescent="0.2">
      <c r="B15" s="2" t="s">
        <v>21</v>
      </c>
      <c r="G15" s="6">
        <f>+G12-G13-G14</f>
        <v>3034</v>
      </c>
      <c r="H15" s="6">
        <f>+H12-H13-H14</f>
        <v>3146</v>
      </c>
    </row>
    <row r="16" spans="2:8" x14ac:dyDescent="0.2">
      <c r="B16" t="s">
        <v>28</v>
      </c>
      <c r="G16" s="6">
        <f>+G6</f>
        <v>75</v>
      </c>
      <c r="H16" s="6">
        <f>+H6</f>
        <v>-20</v>
      </c>
    </row>
    <row r="17" spans="2:13" x14ac:dyDescent="0.2">
      <c r="B17" s="2" t="s">
        <v>24</v>
      </c>
      <c r="G17" s="6">
        <f>+G15-G16</f>
        <v>2959</v>
      </c>
      <c r="H17" s="6">
        <f>+H15-H16</f>
        <v>3166</v>
      </c>
    </row>
    <row r="18" spans="2:13" x14ac:dyDescent="0.2">
      <c r="M18" s="10"/>
    </row>
    <row r="19" spans="2:13" x14ac:dyDescent="0.2">
      <c r="B19" s="3" t="s">
        <v>32</v>
      </c>
    </row>
    <row r="21" spans="2:13" ht="15.75" x14ac:dyDescent="0.25">
      <c r="B21" s="17" t="s">
        <v>60</v>
      </c>
      <c r="C21" s="18"/>
      <c r="D21" s="18"/>
      <c r="E21" s="18"/>
      <c r="F21" s="18"/>
      <c r="G21" s="18"/>
      <c r="H21" s="18"/>
      <c r="I21" s="18"/>
      <c r="J21" s="18"/>
      <c r="K21" s="18"/>
      <c r="L21" s="18"/>
    </row>
    <row r="22" spans="2:13" x14ac:dyDescent="0.2">
      <c r="B22" s="13" t="s">
        <v>102</v>
      </c>
      <c r="C22" s="18"/>
      <c r="D22" s="18"/>
      <c r="E22" s="18"/>
      <c r="F22" s="18"/>
      <c r="G22" s="18"/>
      <c r="H22" s="18"/>
      <c r="I22" s="18"/>
      <c r="J22" s="18"/>
      <c r="K22" s="18"/>
      <c r="L22" s="18"/>
    </row>
    <row r="23" spans="2:13" ht="15.75" x14ac:dyDescent="0.25">
      <c r="B23" s="17"/>
      <c r="C23" s="18"/>
      <c r="D23" s="18"/>
      <c r="E23" s="18"/>
      <c r="F23" s="18"/>
      <c r="G23" s="18"/>
      <c r="H23" s="18"/>
      <c r="I23" s="18"/>
      <c r="J23" s="18"/>
      <c r="K23" s="18"/>
      <c r="L23" s="18"/>
    </row>
    <row r="24" spans="2:13" x14ac:dyDescent="0.2">
      <c r="B24" s="10"/>
    </row>
    <row r="25" spans="2:13" x14ac:dyDescent="0.2">
      <c r="B25" s="10"/>
    </row>
    <row r="26" spans="2:13" ht="15.75" x14ac:dyDescent="0.25">
      <c r="B26" s="4" t="s">
        <v>101</v>
      </c>
    </row>
    <row r="27" spans="2:13" x14ac:dyDescent="0.2">
      <c r="I27" s="188"/>
      <c r="J27" s="188"/>
    </row>
    <row r="28" spans="2:13" x14ac:dyDescent="0.2">
      <c r="B28" s="2" t="s">
        <v>56</v>
      </c>
      <c r="F28" s="10"/>
      <c r="I28" s="24"/>
      <c r="J28" s="24"/>
    </row>
    <row r="29" spans="2:13" x14ac:dyDescent="0.2">
      <c r="C29" s="10" t="s">
        <v>73</v>
      </c>
      <c r="F29" s="19" t="s">
        <v>92</v>
      </c>
      <c r="G29" s="10"/>
      <c r="I29" s="25"/>
      <c r="J29" s="24"/>
    </row>
    <row r="30" spans="2:13" x14ac:dyDescent="0.2">
      <c r="C30" t="s">
        <v>6</v>
      </c>
      <c r="F30" s="13" t="s">
        <v>93</v>
      </c>
      <c r="G30" s="10"/>
      <c r="I30" s="24"/>
      <c r="J30" s="26"/>
    </row>
    <row r="31" spans="2:13" x14ac:dyDescent="0.2">
      <c r="C31" t="s">
        <v>7</v>
      </c>
      <c r="F31" s="13" t="s">
        <v>69</v>
      </c>
      <c r="G31" s="10"/>
      <c r="I31" s="24"/>
      <c r="J31" s="26"/>
    </row>
    <row r="32" spans="2:13" x14ac:dyDescent="0.2">
      <c r="F32" s="10"/>
      <c r="G32" s="10"/>
      <c r="I32" s="24"/>
      <c r="J32" s="27"/>
    </row>
    <row r="33" spans="2:10" x14ac:dyDescent="0.2">
      <c r="B33" s="2" t="s">
        <v>8</v>
      </c>
      <c r="F33" s="10"/>
      <c r="G33" s="10"/>
      <c r="I33" s="24"/>
      <c r="J33" s="27"/>
    </row>
    <row r="34" spans="2:10" x14ac:dyDescent="0.2">
      <c r="C34" t="s">
        <v>10</v>
      </c>
      <c r="F34" s="10" t="s">
        <v>94</v>
      </c>
      <c r="G34" s="10"/>
      <c r="I34" s="24"/>
      <c r="J34" s="27"/>
    </row>
    <row r="35" spans="2:10" x14ac:dyDescent="0.2">
      <c r="C35" t="s">
        <v>11</v>
      </c>
      <c r="F35" s="10" t="s">
        <v>95</v>
      </c>
      <c r="G35" s="10"/>
      <c r="I35" s="24"/>
      <c r="J35" s="27"/>
    </row>
    <row r="37" spans="2:10" x14ac:dyDescent="0.2">
      <c r="B37" s="10" t="s">
        <v>98</v>
      </c>
      <c r="F37" s="10" t="s">
        <v>99</v>
      </c>
    </row>
    <row r="38" spans="2:10" x14ac:dyDescent="0.2">
      <c r="F38" s="28" t="s">
        <v>100</v>
      </c>
    </row>
  </sheetData>
  <mergeCells count="1">
    <mergeCell ref="I27:J27"/>
  </mergeCells>
  <pageMargins left="0.55118110236220474" right="0.23622047244094491" top="0.98425196850393704" bottom="0.98425196850393704" header="0.51181102362204722" footer="0.51181102362204722"/>
  <pageSetup paperSize="9" scale="80" orientation="portrait" cellComments="asDisplayed" r:id="rId1"/>
  <headerFooter alignWithMargins="0"/>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B2:M37"/>
  <sheetViews>
    <sheetView showGridLines="0" workbookViewId="0">
      <selection activeCell="L17" sqref="L17"/>
    </sheetView>
  </sheetViews>
  <sheetFormatPr defaultColWidth="9.140625" defaultRowHeight="12.75" x14ac:dyDescent="0.2"/>
  <cols>
    <col min="1" max="1" width="3.42578125" customWidth="1"/>
    <col min="6" max="6" width="7.140625" customWidth="1"/>
    <col min="9" max="9" width="14.140625" customWidth="1"/>
    <col min="10" max="10" width="18.28515625" customWidth="1"/>
    <col min="12" max="12" width="8.140625" customWidth="1"/>
    <col min="15" max="15" width="6.42578125" customWidth="1"/>
  </cols>
  <sheetData>
    <row r="2" spans="2:8" ht="15.75" x14ac:dyDescent="0.25">
      <c r="B2" s="4" t="s">
        <v>76</v>
      </c>
    </row>
    <row r="3" spans="2:8" x14ac:dyDescent="0.2">
      <c r="B3" t="s">
        <v>4</v>
      </c>
      <c r="G3" s="1" t="s">
        <v>75</v>
      </c>
      <c r="H3" s="1" t="s">
        <v>0</v>
      </c>
    </row>
    <row r="5" spans="2:8" x14ac:dyDescent="0.2">
      <c r="B5" s="2" t="s">
        <v>25</v>
      </c>
      <c r="G5" s="6">
        <f>G7-G6</f>
        <v>7731</v>
      </c>
      <c r="H5" s="6">
        <f>H7-H6</f>
        <v>8188</v>
      </c>
    </row>
    <row r="6" spans="2:8" x14ac:dyDescent="0.2">
      <c r="B6" t="s">
        <v>27</v>
      </c>
      <c r="G6" s="7">
        <f>123+64-33</f>
        <v>154</v>
      </c>
      <c r="H6" s="7">
        <v>0</v>
      </c>
    </row>
    <row r="7" spans="2:8" x14ac:dyDescent="0.2">
      <c r="B7" s="2" t="s">
        <v>23</v>
      </c>
      <c r="G7" s="6">
        <v>7885</v>
      </c>
      <c r="H7" s="6">
        <v>8188</v>
      </c>
    </row>
    <row r="8" spans="2:8" x14ac:dyDescent="0.2">
      <c r="B8" t="s">
        <v>22</v>
      </c>
      <c r="G8" s="6">
        <v>-139</v>
      </c>
      <c r="H8" s="6">
        <v>-146</v>
      </c>
    </row>
    <row r="9" spans="2:8" x14ac:dyDescent="0.2">
      <c r="B9" s="2" t="s">
        <v>2</v>
      </c>
      <c r="G9" s="6">
        <f>G7+G8</f>
        <v>7746</v>
      </c>
      <c r="H9" s="6">
        <f>H7+H8</f>
        <v>8042</v>
      </c>
    </row>
    <row r="10" spans="2:8" x14ac:dyDescent="0.2">
      <c r="B10" t="s">
        <v>15</v>
      </c>
      <c r="G10" s="6">
        <v>-3994</v>
      </c>
      <c r="H10" s="6">
        <v>-3586</v>
      </c>
    </row>
    <row r="11" spans="2:8" x14ac:dyDescent="0.2">
      <c r="B11" t="s">
        <v>16</v>
      </c>
      <c r="G11" s="6">
        <v>0</v>
      </c>
      <c r="H11" s="6">
        <v>10</v>
      </c>
    </row>
    <row r="12" spans="2:8" x14ac:dyDescent="0.2">
      <c r="B12" s="2" t="s">
        <v>3</v>
      </c>
      <c r="G12" s="6">
        <f>G9+G10+G11</f>
        <v>3752</v>
      </c>
      <c r="H12" s="6">
        <f>H9+H10+H11</f>
        <v>4466</v>
      </c>
    </row>
    <row r="13" spans="2:8" x14ac:dyDescent="0.2">
      <c r="B13" t="s">
        <v>26</v>
      </c>
      <c r="G13" s="6">
        <f>G8</f>
        <v>-139</v>
      </c>
      <c r="H13" s="6">
        <f>H8</f>
        <v>-146</v>
      </c>
    </row>
    <row r="14" spans="2:8" x14ac:dyDescent="0.2">
      <c r="B14" s="2" t="s">
        <v>20</v>
      </c>
      <c r="G14" s="6">
        <f>+G11</f>
        <v>0</v>
      </c>
      <c r="H14" s="6">
        <f>+H11</f>
        <v>10</v>
      </c>
    </row>
    <row r="15" spans="2:8" x14ac:dyDescent="0.2">
      <c r="B15" s="2" t="s">
        <v>21</v>
      </c>
      <c r="G15" s="6">
        <f>+G12-G13-G14</f>
        <v>3891</v>
      </c>
      <c r="H15" s="6">
        <f>+H12-H13-H14</f>
        <v>4602</v>
      </c>
    </row>
    <row r="16" spans="2:8" x14ac:dyDescent="0.2">
      <c r="B16" t="s">
        <v>28</v>
      </c>
      <c r="G16" s="6">
        <f>+G6</f>
        <v>154</v>
      </c>
      <c r="H16" s="6">
        <f>+H6</f>
        <v>0</v>
      </c>
    </row>
    <row r="17" spans="2:13" x14ac:dyDescent="0.2">
      <c r="B17" s="2" t="s">
        <v>24</v>
      </c>
      <c r="G17" s="6">
        <f>+G15-G16</f>
        <v>3737</v>
      </c>
      <c r="H17" s="6">
        <f>+H15-H16</f>
        <v>4602</v>
      </c>
    </row>
    <row r="18" spans="2:13" x14ac:dyDescent="0.2">
      <c r="M18" s="10"/>
    </row>
    <row r="19" spans="2:13" x14ac:dyDescent="0.2">
      <c r="B19" s="3" t="s">
        <v>32</v>
      </c>
    </row>
    <row r="21" spans="2:13" ht="15.75" x14ac:dyDescent="0.25">
      <c r="B21" s="17" t="s">
        <v>60</v>
      </c>
      <c r="C21" s="18"/>
      <c r="D21" s="18"/>
      <c r="E21" s="18"/>
      <c r="F21" s="18"/>
      <c r="G21" s="18"/>
      <c r="H21" s="18"/>
      <c r="I21" s="18"/>
      <c r="J21" s="18"/>
      <c r="K21" s="18"/>
      <c r="L21" s="18"/>
    </row>
    <row r="22" spans="2:13" x14ac:dyDescent="0.2">
      <c r="B22" s="13" t="s">
        <v>77</v>
      </c>
      <c r="C22" s="18"/>
      <c r="D22" s="18"/>
      <c r="E22" s="18"/>
      <c r="F22" s="18"/>
      <c r="G22" s="18"/>
      <c r="H22" s="18"/>
      <c r="I22" s="18"/>
      <c r="J22" s="18"/>
      <c r="K22" s="18"/>
      <c r="L22" s="18"/>
    </row>
    <row r="23" spans="2:13" x14ac:dyDescent="0.2">
      <c r="B23" s="13" t="s">
        <v>78</v>
      </c>
      <c r="C23" s="18"/>
      <c r="D23" s="18"/>
      <c r="E23" s="18"/>
      <c r="F23" s="18"/>
      <c r="G23" s="18"/>
      <c r="H23" s="18"/>
      <c r="I23" s="18"/>
      <c r="J23" s="18"/>
      <c r="K23" s="18"/>
      <c r="L23" s="18"/>
    </row>
    <row r="24" spans="2:13" ht="11.25" customHeight="1" x14ac:dyDescent="0.2">
      <c r="B24" s="13" t="s">
        <v>79</v>
      </c>
      <c r="C24" s="18"/>
      <c r="D24" s="18"/>
      <c r="E24" s="18"/>
      <c r="F24" s="18"/>
      <c r="G24" s="18"/>
      <c r="H24" s="18"/>
      <c r="I24" s="18"/>
      <c r="J24" s="18"/>
      <c r="K24" s="18"/>
      <c r="L24" s="18"/>
    </row>
    <row r="25" spans="2:13" x14ac:dyDescent="0.2">
      <c r="B25" s="10"/>
    </row>
    <row r="26" spans="2:13" x14ac:dyDescent="0.2">
      <c r="B26" s="10"/>
    </row>
    <row r="27" spans="2:13" x14ac:dyDescent="0.2">
      <c r="B27" s="10"/>
    </row>
    <row r="28" spans="2:13" ht="15.75" x14ac:dyDescent="0.25">
      <c r="B28" s="4" t="s">
        <v>80</v>
      </c>
    </row>
    <row r="29" spans="2:13" x14ac:dyDescent="0.2">
      <c r="I29" s="189" t="s">
        <v>55</v>
      </c>
      <c r="J29" s="189"/>
    </row>
    <row r="30" spans="2:13" x14ac:dyDescent="0.2">
      <c r="B30" s="2" t="s">
        <v>56</v>
      </c>
      <c r="F30" s="10" t="s">
        <v>81</v>
      </c>
      <c r="I30" s="21" t="s">
        <v>88</v>
      </c>
      <c r="J30" s="21" t="s">
        <v>87</v>
      </c>
    </row>
    <row r="31" spans="2:13" x14ac:dyDescent="0.2">
      <c r="C31" s="10" t="s">
        <v>73</v>
      </c>
      <c r="F31" s="19" t="s">
        <v>82</v>
      </c>
      <c r="G31" s="10"/>
      <c r="I31" s="22" t="s">
        <v>68</v>
      </c>
      <c r="J31" s="23" t="s">
        <v>89</v>
      </c>
    </row>
    <row r="32" spans="2:13" x14ac:dyDescent="0.2">
      <c r="C32" t="s">
        <v>6</v>
      </c>
      <c r="F32" s="13" t="s">
        <v>83</v>
      </c>
      <c r="G32" s="10"/>
      <c r="I32" s="21" t="s">
        <v>57</v>
      </c>
      <c r="J32" s="23" t="s">
        <v>90</v>
      </c>
    </row>
    <row r="33" spans="2:10" x14ac:dyDescent="0.2">
      <c r="C33" t="s">
        <v>7</v>
      </c>
      <c r="F33" s="13" t="s">
        <v>84</v>
      </c>
      <c r="G33" s="10"/>
      <c r="I33" s="21" t="s">
        <v>69</v>
      </c>
      <c r="J33" s="23" t="s">
        <v>91</v>
      </c>
    </row>
    <row r="34" spans="2:10" x14ac:dyDescent="0.2">
      <c r="F34" s="10"/>
      <c r="G34" s="10"/>
      <c r="I34" s="21"/>
      <c r="J34" s="20"/>
    </row>
    <row r="35" spans="2:10" x14ac:dyDescent="0.2">
      <c r="B35" s="2" t="s">
        <v>8</v>
      </c>
      <c r="F35" s="10"/>
      <c r="G35" s="10"/>
      <c r="I35" s="21"/>
      <c r="J35" s="20"/>
    </row>
    <row r="36" spans="2:10" x14ac:dyDescent="0.2">
      <c r="C36" t="s">
        <v>10</v>
      </c>
      <c r="F36" s="10" t="s">
        <v>85</v>
      </c>
      <c r="G36" s="10"/>
      <c r="I36" s="21" t="s">
        <v>49</v>
      </c>
      <c r="J36" s="20"/>
    </row>
    <row r="37" spans="2:10" x14ac:dyDescent="0.2">
      <c r="C37" t="s">
        <v>11</v>
      </c>
      <c r="F37" s="10" t="s">
        <v>86</v>
      </c>
      <c r="G37" s="10"/>
      <c r="I37" s="21" t="s">
        <v>59</v>
      </c>
      <c r="J37" s="20"/>
    </row>
  </sheetData>
  <mergeCells count="1">
    <mergeCell ref="I29:J29"/>
  </mergeCells>
  <pageMargins left="0.55118110236220474" right="0.23622047244094491" top="0.98425196850393704" bottom="0.98425196850393704" header="0.51181102362204722" footer="0.51181102362204722"/>
  <pageSetup paperSize="9" scale="72"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43"/>
  <sheetViews>
    <sheetView showGridLines="0" zoomScale="110" zoomScaleNormal="110" workbookViewId="0">
      <selection activeCell="D16" sqref="D16"/>
    </sheetView>
  </sheetViews>
  <sheetFormatPr defaultColWidth="9.140625" defaultRowHeight="12.75" x14ac:dyDescent="0.2"/>
  <cols>
    <col min="1" max="1" width="3.42578125" style="85" customWidth="1"/>
    <col min="2" max="2" width="20.5703125" style="85" customWidth="1"/>
    <col min="3" max="5" width="9.140625" style="85"/>
    <col min="6" max="6" width="15.85546875" style="85" customWidth="1"/>
    <col min="7" max="7" width="11.5703125" style="85" customWidth="1"/>
    <col min="8" max="8" width="14" style="85" customWidth="1"/>
    <col min="9" max="9" width="14.140625" style="85" customWidth="1"/>
    <col min="10" max="10" width="18.28515625" style="85" customWidth="1"/>
    <col min="11" max="12" width="9.140625" style="85"/>
    <col min="13" max="13" width="27.85546875" style="85" customWidth="1"/>
    <col min="14" max="15" width="9.140625" style="85"/>
    <col min="16" max="16" width="6.42578125" style="85" customWidth="1"/>
    <col min="17" max="16384" width="9.140625" style="85"/>
  </cols>
  <sheetData>
    <row r="2" spans="2:18" ht="15.75" x14ac:dyDescent="0.25">
      <c r="B2" s="93" t="s">
        <v>346</v>
      </c>
    </row>
    <row r="3" spans="2:18" x14ac:dyDescent="0.2">
      <c r="B3" s="85" t="s">
        <v>4</v>
      </c>
      <c r="G3" s="98" t="s">
        <v>347</v>
      </c>
      <c r="H3" s="98" t="s">
        <v>302</v>
      </c>
      <c r="I3" s="98"/>
      <c r="P3" s="94"/>
      <c r="R3" s="94"/>
    </row>
    <row r="4" spans="2:18" x14ac:dyDescent="0.2">
      <c r="N4" s="86"/>
    </row>
    <row r="5" spans="2:18" x14ac:dyDescent="0.2">
      <c r="B5" s="96" t="s">
        <v>143</v>
      </c>
      <c r="G5" s="37">
        <f>G7-G6</f>
        <v>11547</v>
      </c>
      <c r="H5" s="37">
        <f>H7-H6</f>
        <v>11402</v>
      </c>
      <c r="I5" s="95"/>
      <c r="N5" s="86"/>
    </row>
    <row r="6" spans="2:18" x14ac:dyDescent="0.2">
      <c r="B6" s="94" t="s">
        <v>209</v>
      </c>
      <c r="G6" s="38">
        <v>-85</v>
      </c>
      <c r="H6" s="38">
        <v>227</v>
      </c>
      <c r="I6" s="97"/>
      <c r="N6" s="86"/>
    </row>
    <row r="7" spans="2:18" x14ac:dyDescent="0.2">
      <c r="B7" s="96" t="s">
        <v>145</v>
      </c>
      <c r="G7" s="79">
        <v>11462</v>
      </c>
      <c r="H7" s="79">
        <v>11629</v>
      </c>
      <c r="I7" s="95"/>
    </row>
    <row r="8" spans="2:18" x14ac:dyDescent="0.2">
      <c r="B8" s="85" t="s">
        <v>22</v>
      </c>
      <c r="G8" s="37">
        <v>-178</v>
      </c>
      <c r="H8" s="37">
        <v>-140</v>
      </c>
      <c r="I8" s="95"/>
    </row>
    <row r="9" spans="2:18" x14ac:dyDescent="0.2">
      <c r="B9" s="96" t="s">
        <v>2</v>
      </c>
      <c r="G9" s="37">
        <v>11283</v>
      </c>
      <c r="H9" s="37">
        <v>11490</v>
      </c>
      <c r="I9" s="95"/>
    </row>
    <row r="10" spans="2:18" x14ac:dyDescent="0.2">
      <c r="B10" s="85" t="s">
        <v>15</v>
      </c>
      <c r="G10" s="37">
        <v>-5109</v>
      </c>
      <c r="H10" s="37">
        <v>-4890</v>
      </c>
      <c r="I10" s="95"/>
      <c r="N10" s="86"/>
      <c r="P10" s="94"/>
    </row>
    <row r="11" spans="2:18" x14ac:dyDescent="0.2">
      <c r="B11" s="94" t="s">
        <v>281</v>
      </c>
      <c r="G11" s="38">
        <v>0</v>
      </c>
      <c r="H11" s="37">
        <v>-128</v>
      </c>
      <c r="I11" s="95"/>
      <c r="N11" s="86"/>
    </row>
    <row r="12" spans="2:18" x14ac:dyDescent="0.2">
      <c r="B12" s="96" t="s">
        <v>345</v>
      </c>
      <c r="G12" s="37">
        <v>6175</v>
      </c>
      <c r="H12" s="37">
        <v>6599</v>
      </c>
      <c r="I12" s="95"/>
    </row>
    <row r="13" spans="2:18" x14ac:dyDescent="0.2">
      <c r="B13" s="85" t="s">
        <v>26</v>
      </c>
      <c r="G13" s="37">
        <f>G8</f>
        <v>-178</v>
      </c>
      <c r="H13" s="37">
        <f>H8</f>
        <v>-140</v>
      </c>
      <c r="I13" s="95"/>
    </row>
    <row r="14" spans="2:18" x14ac:dyDescent="0.2">
      <c r="B14" s="96" t="s">
        <v>20</v>
      </c>
      <c r="G14" s="37">
        <f>G11</f>
        <v>0</v>
      </c>
      <c r="H14" s="37">
        <f>H11</f>
        <v>-128</v>
      </c>
      <c r="I14" s="95"/>
      <c r="N14" s="86"/>
    </row>
    <row r="15" spans="2:18" x14ac:dyDescent="0.2">
      <c r="B15" s="96" t="s">
        <v>331</v>
      </c>
      <c r="G15" s="37">
        <f>G12-G13-G14</f>
        <v>6353</v>
      </c>
      <c r="H15" s="37">
        <f>H12-H13-H14</f>
        <v>6867</v>
      </c>
      <c r="I15" s="95"/>
    </row>
    <row r="16" spans="2:18" x14ac:dyDescent="0.2">
      <c r="B16" s="94" t="s">
        <v>210</v>
      </c>
      <c r="G16" s="37">
        <f>G6</f>
        <v>-85</v>
      </c>
      <c r="H16" s="37">
        <f>H6</f>
        <v>227</v>
      </c>
      <c r="I16" s="95"/>
    </row>
    <row r="17" spans="1:18" x14ac:dyDescent="0.2">
      <c r="B17" s="96" t="s">
        <v>332</v>
      </c>
      <c r="G17" s="37">
        <f>G15-G16</f>
        <v>6438</v>
      </c>
      <c r="H17" s="37">
        <f>H15-H16</f>
        <v>6640</v>
      </c>
      <c r="I17" s="95"/>
    </row>
    <row r="19" spans="1:18" x14ac:dyDescent="0.2">
      <c r="B19" s="85" t="s">
        <v>359</v>
      </c>
    </row>
    <row r="20" spans="1:18" x14ac:dyDescent="0.2">
      <c r="B20" s="85" t="s">
        <v>360</v>
      </c>
    </row>
    <row r="21" spans="1:18" x14ac:dyDescent="0.2">
      <c r="B21" s="85" t="s">
        <v>348</v>
      </c>
    </row>
    <row r="22" spans="1:18" s="166" customFormat="1" ht="15" x14ac:dyDescent="0.2">
      <c r="A22" s="94"/>
      <c r="B22" s="94" t="s">
        <v>279</v>
      </c>
      <c r="C22" s="86"/>
      <c r="D22" s="86"/>
      <c r="E22" s="86"/>
      <c r="F22" s="86"/>
      <c r="G22" s="86"/>
      <c r="H22" s="86"/>
      <c r="I22" s="86"/>
      <c r="J22" s="86"/>
      <c r="K22" s="86"/>
      <c r="L22" s="167"/>
      <c r="M22" s="167"/>
    </row>
    <row r="23" spans="1:18" x14ac:dyDescent="0.2">
      <c r="B23" s="105"/>
      <c r="C23" s="86"/>
      <c r="D23" s="86"/>
      <c r="E23" s="86"/>
      <c r="F23" s="86"/>
      <c r="G23" s="86"/>
      <c r="H23" s="86"/>
      <c r="I23" s="86"/>
      <c r="J23" s="86"/>
      <c r="K23" s="86"/>
      <c r="L23" s="86"/>
      <c r="M23" s="86"/>
    </row>
    <row r="24" spans="1:18" ht="15.75" x14ac:dyDescent="0.25">
      <c r="B24" s="93" t="s">
        <v>129</v>
      </c>
      <c r="C24" s="86"/>
      <c r="D24" s="86"/>
      <c r="E24" s="86"/>
      <c r="F24" s="86"/>
      <c r="G24" s="86"/>
      <c r="H24" s="86"/>
      <c r="I24" s="86"/>
      <c r="J24" s="86"/>
      <c r="K24" s="86"/>
      <c r="L24" s="86"/>
      <c r="M24" s="86"/>
    </row>
    <row r="25" spans="1:18" s="96" customFormat="1" ht="15.75" x14ac:dyDescent="0.25">
      <c r="B25" s="93"/>
      <c r="C25" s="159"/>
      <c r="D25" s="159"/>
      <c r="E25" s="159"/>
      <c r="F25" s="159"/>
      <c r="G25" s="159"/>
      <c r="H25" s="159"/>
      <c r="I25" s="159"/>
      <c r="J25" s="159"/>
      <c r="K25" s="159"/>
      <c r="L25" s="159"/>
      <c r="M25" s="159"/>
    </row>
    <row r="26" spans="1:18" s="160" customFormat="1" ht="12.75" customHeight="1" x14ac:dyDescent="0.2">
      <c r="B26" s="181" t="s">
        <v>358</v>
      </c>
      <c r="C26" s="181"/>
      <c r="D26" s="181"/>
      <c r="E26" s="181"/>
      <c r="F26" s="181"/>
      <c r="G26" s="181"/>
      <c r="H26" s="181"/>
      <c r="I26" s="181"/>
      <c r="J26" s="181"/>
      <c r="K26" s="181"/>
      <c r="L26" s="181"/>
      <c r="M26" s="181"/>
      <c r="N26" s="161"/>
      <c r="O26" s="161"/>
      <c r="P26" s="161"/>
      <c r="Q26" s="161"/>
      <c r="R26" s="161"/>
    </row>
    <row r="27" spans="1:18" s="94" customFormat="1" x14ac:dyDescent="0.2">
      <c r="B27" s="165"/>
      <c r="C27" s="165"/>
      <c r="D27" s="165"/>
      <c r="E27" s="165"/>
      <c r="F27" s="165"/>
      <c r="G27" s="165"/>
      <c r="H27" s="165"/>
      <c r="I27" s="165"/>
      <c r="J27" s="165"/>
      <c r="K27" s="165"/>
      <c r="L27" s="165"/>
      <c r="M27" s="165"/>
      <c r="N27" s="110"/>
      <c r="O27" s="110"/>
      <c r="P27" s="110"/>
      <c r="Q27" s="110"/>
      <c r="R27" s="110"/>
    </row>
    <row r="28" spans="1:18" s="94" customFormat="1" x14ac:dyDescent="0.2">
      <c r="B28" s="165"/>
      <c r="C28" s="165"/>
      <c r="D28" s="165"/>
      <c r="E28" s="165"/>
      <c r="F28" s="165"/>
      <c r="G28" s="165"/>
      <c r="H28" s="165"/>
      <c r="I28" s="165"/>
      <c r="J28" s="165"/>
      <c r="K28" s="165"/>
      <c r="L28" s="165"/>
      <c r="M28" s="165"/>
      <c r="N28" s="110"/>
      <c r="O28" s="110"/>
      <c r="P28" s="110"/>
      <c r="Q28" s="110"/>
      <c r="R28" s="110"/>
    </row>
    <row r="29" spans="1:18" ht="13.5" thickBot="1" x14ac:dyDescent="0.25">
      <c r="A29" s="87"/>
      <c r="B29" s="106"/>
      <c r="C29" s="106"/>
      <c r="D29" s="106"/>
      <c r="E29" s="106"/>
      <c r="F29" s="106"/>
      <c r="G29" s="106"/>
      <c r="H29" s="106"/>
      <c r="I29" s="106"/>
      <c r="J29" s="106"/>
      <c r="K29" s="106"/>
      <c r="L29" s="106"/>
      <c r="M29" s="106"/>
    </row>
    <row r="30" spans="1:18" ht="15.75" x14ac:dyDescent="0.25">
      <c r="A30" s="87"/>
      <c r="B30" s="111" t="s">
        <v>357</v>
      </c>
      <c r="C30" s="112"/>
      <c r="D30" s="112"/>
      <c r="E30" s="112"/>
      <c r="F30" s="112"/>
      <c r="G30" s="112"/>
      <c r="H30" s="114"/>
      <c r="I30" s="119"/>
      <c r="J30" s="89"/>
      <c r="K30" s="89"/>
      <c r="L30" s="89"/>
      <c r="M30" s="86"/>
    </row>
    <row r="31" spans="1:18" ht="9" customHeight="1" x14ac:dyDescent="0.25">
      <c r="A31" s="87"/>
      <c r="B31" s="115"/>
      <c r="C31" s="116"/>
      <c r="D31" s="116"/>
      <c r="E31" s="116"/>
      <c r="F31" s="116"/>
      <c r="G31" s="116"/>
      <c r="H31" s="120"/>
      <c r="I31" s="119"/>
      <c r="J31" s="89"/>
      <c r="K31" s="89"/>
      <c r="L31" s="89"/>
      <c r="M31" s="86"/>
    </row>
    <row r="32" spans="1:18" s="87" customFormat="1" ht="15.75" x14ac:dyDescent="0.25">
      <c r="B32" s="115"/>
      <c r="C32" s="116"/>
      <c r="D32" s="116"/>
      <c r="E32" s="116"/>
      <c r="F32" s="117"/>
      <c r="G32" s="147" t="s">
        <v>283</v>
      </c>
      <c r="H32" s="162" t="s">
        <v>350</v>
      </c>
      <c r="I32" s="144"/>
      <c r="K32" s="89"/>
      <c r="L32" s="89"/>
      <c r="M32" s="89"/>
    </row>
    <row r="33" spans="1:13" s="87" customFormat="1" x14ac:dyDescent="0.2">
      <c r="B33" s="121"/>
      <c r="C33" s="116" t="s">
        <v>73</v>
      </c>
      <c r="D33" s="116"/>
      <c r="E33" s="116"/>
      <c r="F33" s="137" t="s">
        <v>313</v>
      </c>
      <c r="G33" s="147" t="s">
        <v>354</v>
      </c>
      <c r="H33" s="163" t="s">
        <v>351</v>
      </c>
      <c r="I33" s="144"/>
      <c r="J33" s="108"/>
      <c r="K33" s="89"/>
      <c r="L33" s="89"/>
      <c r="M33" s="89"/>
    </row>
    <row r="34" spans="1:13" s="87" customFormat="1" x14ac:dyDescent="0.2">
      <c r="B34" s="121"/>
      <c r="C34" s="116" t="s">
        <v>151</v>
      </c>
      <c r="D34" s="116"/>
      <c r="E34" s="116"/>
      <c r="F34" s="138" t="s">
        <v>349</v>
      </c>
      <c r="G34" s="147" t="s">
        <v>355</v>
      </c>
      <c r="H34" s="163" t="s">
        <v>352</v>
      </c>
      <c r="I34" s="144"/>
      <c r="J34" s="108"/>
      <c r="K34" s="89"/>
      <c r="L34" s="89"/>
      <c r="M34" s="89"/>
    </row>
    <row r="35" spans="1:13" s="87" customFormat="1" x14ac:dyDescent="0.2">
      <c r="B35" s="121"/>
      <c r="C35" s="116" t="s">
        <v>152</v>
      </c>
      <c r="D35" s="116"/>
      <c r="E35" s="116"/>
      <c r="F35" s="138" t="s">
        <v>340</v>
      </c>
      <c r="G35" s="147" t="s">
        <v>356</v>
      </c>
      <c r="H35" s="163" t="s">
        <v>353</v>
      </c>
      <c r="I35" s="144"/>
      <c r="J35" s="108"/>
      <c r="K35" s="89"/>
      <c r="L35" s="89"/>
      <c r="M35" s="89"/>
    </row>
    <row r="36" spans="1:13" s="87" customFormat="1" ht="18.75" customHeight="1" x14ac:dyDescent="0.2">
      <c r="B36" s="130" t="s">
        <v>301</v>
      </c>
      <c r="C36" s="119"/>
      <c r="D36" s="119"/>
      <c r="E36" s="119"/>
      <c r="F36" s="119"/>
      <c r="G36" s="119"/>
      <c r="H36" s="164"/>
      <c r="I36" s="119"/>
      <c r="J36" s="107"/>
      <c r="K36" s="89"/>
      <c r="L36" s="89"/>
      <c r="M36" s="89"/>
    </row>
    <row r="37" spans="1:13" s="87" customFormat="1" ht="19.5" customHeight="1" thickBot="1" x14ac:dyDescent="0.25">
      <c r="B37" s="179"/>
      <c r="C37" s="180"/>
      <c r="D37" s="180"/>
      <c r="E37" s="180"/>
      <c r="F37" s="180"/>
      <c r="G37" s="180"/>
      <c r="H37" s="182"/>
      <c r="I37" s="119"/>
      <c r="J37" s="89"/>
      <c r="K37" s="89"/>
      <c r="L37" s="89"/>
      <c r="M37" s="89"/>
    </row>
    <row r="38" spans="1:13" x14ac:dyDescent="0.2">
      <c r="A38" s="87"/>
      <c r="B38" s="89"/>
      <c r="C38" s="89"/>
      <c r="D38" s="89"/>
      <c r="E38" s="89"/>
      <c r="F38" s="89"/>
      <c r="G38" s="89"/>
      <c r="H38" s="89"/>
      <c r="I38" s="89"/>
      <c r="J38" s="89"/>
      <c r="K38" s="89"/>
      <c r="L38" s="89"/>
      <c r="M38" s="86"/>
    </row>
    <row r="39" spans="1:13" x14ac:dyDescent="0.2">
      <c r="A39" s="87"/>
      <c r="B39" s="89"/>
      <c r="C39" s="89"/>
      <c r="D39" s="89"/>
      <c r="E39" s="89"/>
      <c r="F39" s="89"/>
      <c r="G39" s="89"/>
      <c r="H39" s="89"/>
      <c r="I39" s="89"/>
      <c r="J39" s="89"/>
      <c r="K39" s="89"/>
      <c r="L39" s="89"/>
      <c r="M39" s="86"/>
    </row>
    <row r="40" spans="1:13" x14ac:dyDescent="0.2">
      <c r="A40" s="87"/>
      <c r="B40" s="89"/>
      <c r="C40" s="89"/>
      <c r="D40" s="89"/>
      <c r="E40" s="89"/>
      <c r="F40" s="89"/>
      <c r="G40" s="89"/>
      <c r="H40" s="89"/>
      <c r="I40" s="89"/>
      <c r="J40" s="89"/>
      <c r="K40" s="89"/>
      <c r="L40" s="89"/>
      <c r="M40" s="86"/>
    </row>
    <row r="41" spans="1:13" x14ac:dyDescent="0.2">
      <c r="A41" s="87"/>
      <c r="B41" s="89"/>
      <c r="C41" s="87"/>
      <c r="D41" s="87"/>
      <c r="E41" s="87"/>
      <c r="F41" s="87"/>
      <c r="G41" s="87"/>
      <c r="H41" s="87"/>
      <c r="I41" s="87"/>
      <c r="J41" s="87"/>
      <c r="K41" s="87"/>
      <c r="L41" s="87"/>
    </row>
    <row r="42" spans="1:13" x14ac:dyDescent="0.2">
      <c r="A42" s="87"/>
      <c r="B42" s="87"/>
      <c r="C42" s="87"/>
      <c r="D42" s="87"/>
      <c r="E42" s="87"/>
      <c r="F42" s="87"/>
      <c r="G42" s="87"/>
      <c r="H42" s="87"/>
      <c r="I42" s="87"/>
      <c r="J42" s="87"/>
      <c r="K42" s="87"/>
      <c r="L42" s="87"/>
    </row>
    <row r="43" spans="1:13" x14ac:dyDescent="0.2">
      <c r="A43" s="87"/>
      <c r="B43" s="87"/>
      <c r="C43" s="87"/>
      <c r="D43" s="87"/>
      <c r="E43" s="87"/>
      <c r="F43" s="87"/>
      <c r="G43" s="87"/>
      <c r="H43" s="87"/>
      <c r="I43" s="87"/>
      <c r="J43" s="87"/>
      <c r="K43" s="87"/>
      <c r="L43" s="87"/>
    </row>
  </sheetData>
  <mergeCells count="2">
    <mergeCell ref="B26:M26"/>
    <mergeCell ref="B37:H37"/>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M37"/>
  <sheetViews>
    <sheetView showGridLines="0" workbookViewId="0">
      <selection activeCell="M10" sqref="M10"/>
    </sheetView>
  </sheetViews>
  <sheetFormatPr defaultColWidth="9.140625" defaultRowHeight="12.75" x14ac:dyDescent="0.2"/>
  <cols>
    <col min="1" max="1" width="3.42578125" customWidth="1"/>
    <col min="6" max="6" width="7.140625" customWidth="1"/>
    <col min="13" max="13" width="8.140625" customWidth="1"/>
    <col min="16" max="16" width="6.42578125" customWidth="1"/>
  </cols>
  <sheetData>
    <row r="2" spans="2:8" ht="15.75" x14ac:dyDescent="0.25">
      <c r="B2" s="4" t="s">
        <v>64</v>
      </c>
    </row>
    <row r="3" spans="2:8" x14ac:dyDescent="0.2">
      <c r="B3" t="s">
        <v>4</v>
      </c>
      <c r="G3" s="1" t="s">
        <v>65</v>
      </c>
      <c r="H3" s="1" t="s">
        <v>66</v>
      </c>
    </row>
    <row r="5" spans="2:8" x14ac:dyDescent="0.2">
      <c r="B5" s="2" t="s">
        <v>25</v>
      </c>
      <c r="G5" s="6">
        <f>G7-G6</f>
        <v>7025</v>
      </c>
      <c r="H5" s="6">
        <f>H7-H6</f>
        <v>7896</v>
      </c>
    </row>
    <row r="6" spans="2:8" x14ac:dyDescent="0.2">
      <c r="B6" t="s">
        <v>27</v>
      </c>
      <c r="G6" s="7">
        <v>0</v>
      </c>
      <c r="H6" s="7">
        <v>0</v>
      </c>
    </row>
    <row r="7" spans="2:8" x14ac:dyDescent="0.2">
      <c r="B7" s="2" t="s">
        <v>23</v>
      </c>
      <c r="G7" s="6">
        <v>7025</v>
      </c>
      <c r="H7" s="6">
        <v>7896</v>
      </c>
    </row>
    <row r="8" spans="2:8" x14ac:dyDescent="0.2">
      <c r="B8" t="s">
        <v>22</v>
      </c>
      <c r="G8" s="6">
        <v>-134</v>
      </c>
      <c r="H8" s="6">
        <v>-76</v>
      </c>
    </row>
    <row r="9" spans="2:8" x14ac:dyDescent="0.2">
      <c r="B9" s="2" t="s">
        <v>2</v>
      </c>
      <c r="G9" s="6">
        <f>G7+G8</f>
        <v>6891</v>
      </c>
      <c r="H9" s="6">
        <f>H7+H8</f>
        <v>7820</v>
      </c>
    </row>
    <row r="10" spans="2:8" x14ac:dyDescent="0.2">
      <c r="B10" t="s">
        <v>15</v>
      </c>
      <c r="G10" s="6">
        <v>-4137</v>
      </c>
      <c r="H10" s="6">
        <v>-3891</v>
      </c>
    </row>
    <row r="11" spans="2:8" x14ac:dyDescent="0.2">
      <c r="B11" t="s">
        <v>16</v>
      </c>
      <c r="G11" s="6">
        <v>0</v>
      </c>
      <c r="H11" s="6">
        <v>-1972</v>
      </c>
    </row>
    <row r="12" spans="2:8" x14ac:dyDescent="0.2">
      <c r="B12" s="2" t="s">
        <v>3</v>
      </c>
      <c r="G12" s="6">
        <f>G9+G10+G11</f>
        <v>2754</v>
      </c>
      <c r="H12" s="6">
        <f>H9+H10+H11</f>
        <v>1957</v>
      </c>
    </row>
    <row r="13" spans="2:8" x14ac:dyDescent="0.2">
      <c r="B13" t="s">
        <v>26</v>
      </c>
      <c r="G13" s="6">
        <f>G8</f>
        <v>-134</v>
      </c>
      <c r="H13" s="6">
        <f>H8</f>
        <v>-76</v>
      </c>
    </row>
    <row r="14" spans="2:8" x14ac:dyDescent="0.2">
      <c r="B14" s="2" t="s">
        <v>20</v>
      </c>
      <c r="G14" s="6">
        <f>+G11</f>
        <v>0</v>
      </c>
      <c r="H14" s="6">
        <f>+H11</f>
        <v>-1972</v>
      </c>
    </row>
    <row r="15" spans="2:8" x14ac:dyDescent="0.2">
      <c r="B15" s="2" t="s">
        <v>21</v>
      </c>
      <c r="G15" s="6">
        <f>+G12-G13-G14</f>
        <v>2888</v>
      </c>
      <c r="H15" s="6">
        <f>+H12-H13-H14</f>
        <v>4005</v>
      </c>
    </row>
    <row r="16" spans="2:8" x14ac:dyDescent="0.2">
      <c r="B16" t="s">
        <v>28</v>
      </c>
      <c r="G16" s="6">
        <f>+G6</f>
        <v>0</v>
      </c>
      <c r="H16" s="6">
        <f>+H6</f>
        <v>0</v>
      </c>
    </row>
    <row r="17" spans="2:13" x14ac:dyDescent="0.2">
      <c r="B17" s="2" t="s">
        <v>24</v>
      </c>
      <c r="G17" s="6">
        <f>+G15-G16</f>
        <v>2888</v>
      </c>
      <c r="H17" s="6">
        <f>+H15-H16</f>
        <v>4005</v>
      </c>
    </row>
    <row r="19" spans="2:13" x14ac:dyDescent="0.2">
      <c r="B19" s="3" t="s">
        <v>32</v>
      </c>
    </row>
    <row r="21" spans="2:13" ht="15.75" x14ac:dyDescent="0.25">
      <c r="B21" s="17" t="s">
        <v>60</v>
      </c>
      <c r="C21" s="18"/>
      <c r="D21" s="18"/>
      <c r="E21" s="18"/>
      <c r="F21" s="18"/>
      <c r="G21" s="18"/>
      <c r="H21" s="18"/>
      <c r="I21" s="18"/>
      <c r="J21" s="18"/>
      <c r="K21" s="18"/>
      <c r="L21" s="18"/>
      <c r="M21" s="18"/>
    </row>
    <row r="22" spans="2:13" x14ac:dyDescent="0.2">
      <c r="B22" s="13" t="s">
        <v>67</v>
      </c>
      <c r="C22" s="18"/>
      <c r="D22" s="18"/>
      <c r="E22" s="18"/>
      <c r="F22" s="18"/>
      <c r="G22" s="18"/>
      <c r="H22" s="18"/>
      <c r="I22" s="18"/>
      <c r="J22" s="18"/>
      <c r="K22" s="18"/>
      <c r="L22" s="18"/>
      <c r="M22" s="18"/>
    </row>
    <row r="23" spans="2:13" x14ac:dyDescent="0.2">
      <c r="B23" s="13" t="s">
        <v>70</v>
      </c>
      <c r="C23" s="18"/>
      <c r="D23" s="18"/>
      <c r="E23" s="18"/>
      <c r="F23" s="18"/>
      <c r="G23" s="18"/>
      <c r="H23" s="18"/>
      <c r="I23" s="18"/>
      <c r="J23" s="18"/>
      <c r="K23" s="18"/>
      <c r="L23" s="18"/>
      <c r="M23" s="18"/>
    </row>
    <row r="24" spans="2:13" ht="11.25" customHeight="1" x14ac:dyDescent="0.2">
      <c r="B24" s="13" t="s">
        <v>74</v>
      </c>
      <c r="C24" s="18"/>
      <c r="D24" s="18"/>
      <c r="E24" s="18"/>
      <c r="F24" s="18"/>
      <c r="G24" s="18"/>
      <c r="H24" s="18"/>
      <c r="I24" s="18"/>
      <c r="J24" s="18"/>
      <c r="K24" s="18"/>
      <c r="L24" s="18"/>
      <c r="M24" s="18"/>
    </row>
    <row r="25" spans="2:13" x14ac:dyDescent="0.2">
      <c r="B25" s="10"/>
    </row>
    <row r="26" spans="2:13" x14ac:dyDescent="0.2">
      <c r="B26" s="10"/>
    </row>
    <row r="27" spans="2:13" x14ac:dyDescent="0.2">
      <c r="B27" s="10"/>
    </row>
    <row r="28" spans="2:13" ht="15.75" x14ac:dyDescent="0.25">
      <c r="B28" s="4" t="s">
        <v>54</v>
      </c>
    </row>
    <row r="30" spans="2:13" x14ac:dyDescent="0.2">
      <c r="B30" s="2" t="s">
        <v>56</v>
      </c>
      <c r="F30" s="10" t="s">
        <v>71</v>
      </c>
      <c r="I30" s="14" t="s">
        <v>55</v>
      </c>
    </row>
    <row r="31" spans="2:13" x14ac:dyDescent="0.2">
      <c r="C31" s="10" t="s">
        <v>73</v>
      </c>
      <c r="F31" s="19" t="s">
        <v>68</v>
      </c>
      <c r="G31" s="10"/>
      <c r="I31" s="14" t="s">
        <v>72</v>
      </c>
    </row>
    <row r="32" spans="2:13" x14ac:dyDescent="0.2">
      <c r="C32" t="s">
        <v>6</v>
      </c>
      <c r="F32" s="13" t="s">
        <v>57</v>
      </c>
      <c r="G32" s="10"/>
      <c r="I32" s="15" t="s">
        <v>57</v>
      </c>
    </row>
    <row r="33" spans="2:9" x14ac:dyDescent="0.2">
      <c r="C33" t="s">
        <v>7</v>
      </c>
      <c r="F33" s="13" t="s">
        <v>69</v>
      </c>
      <c r="G33" s="10"/>
      <c r="I33" s="15" t="s">
        <v>58</v>
      </c>
    </row>
    <row r="34" spans="2:9" x14ac:dyDescent="0.2">
      <c r="F34" s="10"/>
      <c r="G34" s="10"/>
      <c r="I34" s="16"/>
    </row>
    <row r="35" spans="2:9" x14ac:dyDescent="0.2">
      <c r="B35" s="2" t="s">
        <v>8</v>
      </c>
      <c r="F35" s="10"/>
      <c r="G35" s="10"/>
      <c r="I35" s="16"/>
    </row>
    <row r="36" spans="2:9" x14ac:dyDescent="0.2">
      <c r="C36" t="s">
        <v>10</v>
      </c>
      <c r="F36" s="10" t="s">
        <v>49</v>
      </c>
      <c r="G36" s="10"/>
      <c r="I36" s="14" t="s">
        <v>49</v>
      </c>
    </row>
    <row r="37" spans="2:9" x14ac:dyDescent="0.2">
      <c r="C37" t="s">
        <v>11</v>
      </c>
      <c r="F37" s="10" t="s">
        <v>59</v>
      </c>
      <c r="G37" s="10"/>
      <c r="I37" s="14" t="s">
        <v>59</v>
      </c>
    </row>
  </sheetData>
  <pageMargins left="0.55118110236220474" right="0.23622047244094491" top="0.98425196850393704" bottom="0.98425196850393704" header="0.51181102362204722" footer="0.51181102362204722"/>
  <pageSetup paperSize="9" scale="73" orientation="portrait" cellComments="asDisplayed" r:id="rId1"/>
  <headerFooter alignWithMargins="0"/>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37"/>
  <sheetViews>
    <sheetView showGridLines="0" workbookViewId="0">
      <selection activeCell="G8" sqref="G8"/>
    </sheetView>
  </sheetViews>
  <sheetFormatPr defaultColWidth="9.140625" defaultRowHeight="12.75" x14ac:dyDescent="0.2"/>
  <cols>
    <col min="1" max="1" width="3.42578125" customWidth="1"/>
    <col min="6" max="6" width="7.140625" customWidth="1"/>
    <col min="13" max="13" width="8.140625" customWidth="1"/>
  </cols>
  <sheetData>
    <row r="2" spans="2:8" ht="15.75" x14ac:dyDescent="0.25">
      <c r="B2" s="4" t="s">
        <v>53</v>
      </c>
    </row>
    <row r="3" spans="2:8" x14ac:dyDescent="0.2">
      <c r="B3" t="s">
        <v>4</v>
      </c>
      <c r="G3" s="1" t="s">
        <v>51</v>
      </c>
      <c r="H3" s="1" t="s">
        <v>52</v>
      </c>
    </row>
    <row r="5" spans="2:8" x14ac:dyDescent="0.2">
      <c r="B5" s="2" t="s">
        <v>25</v>
      </c>
      <c r="G5" s="6">
        <f>G7-G6</f>
        <v>7173</v>
      </c>
      <c r="H5" s="6">
        <f>H7-H6</f>
        <v>7960</v>
      </c>
    </row>
    <row r="6" spans="2:8" x14ac:dyDescent="0.2">
      <c r="B6" t="s">
        <v>27</v>
      </c>
      <c r="G6" s="7">
        <v>0</v>
      </c>
      <c r="H6" s="7">
        <f>-33-27</f>
        <v>-60</v>
      </c>
    </row>
    <row r="7" spans="2:8" x14ac:dyDescent="0.2">
      <c r="B7" s="2" t="s">
        <v>23</v>
      </c>
      <c r="G7" s="6">
        <v>7173</v>
      </c>
      <c r="H7" s="6">
        <v>7900</v>
      </c>
    </row>
    <row r="8" spans="2:8" x14ac:dyDescent="0.2">
      <c r="B8" t="s">
        <v>22</v>
      </c>
      <c r="G8" s="6">
        <v>-85</v>
      </c>
      <c r="H8" s="6">
        <v>-13</v>
      </c>
    </row>
    <row r="9" spans="2:8" x14ac:dyDescent="0.2">
      <c r="B9" s="2" t="s">
        <v>2</v>
      </c>
      <c r="G9" s="6">
        <f>G7+G8-1</f>
        <v>7087</v>
      </c>
      <c r="H9" s="6">
        <f>H7+H8</f>
        <v>7887</v>
      </c>
    </row>
    <row r="10" spans="2:8" x14ac:dyDescent="0.2">
      <c r="B10" t="s">
        <v>15</v>
      </c>
      <c r="G10" s="6">
        <v>-4058</v>
      </c>
      <c r="H10" s="6">
        <v>-3848</v>
      </c>
    </row>
    <row r="11" spans="2:8" x14ac:dyDescent="0.2">
      <c r="B11" t="s">
        <v>16</v>
      </c>
      <c r="G11" s="6">
        <v>0</v>
      </c>
      <c r="H11" s="6">
        <v>-5</v>
      </c>
    </row>
    <row r="12" spans="2:8" x14ac:dyDescent="0.2">
      <c r="B12" s="2" t="s">
        <v>3</v>
      </c>
      <c r="G12" s="6">
        <f>G9+G10+G11</f>
        <v>3029</v>
      </c>
      <c r="H12" s="6">
        <f>H9+H10+H11</f>
        <v>4034</v>
      </c>
    </row>
    <row r="13" spans="2:8" x14ac:dyDescent="0.2">
      <c r="B13" t="s">
        <v>26</v>
      </c>
      <c r="G13" s="6">
        <f>G8</f>
        <v>-85</v>
      </c>
      <c r="H13" s="6">
        <f>H8</f>
        <v>-13</v>
      </c>
    </row>
    <row r="14" spans="2:8" x14ac:dyDescent="0.2">
      <c r="B14" s="2" t="s">
        <v>20</v>
      </c>
      <c r="G14" s="6">
        <f>+G11</f>
        <v>0</v>
      </c>
      <c r="H14" s="6">
        <f>+H11</f>
        <v>-5</v>
      </c>
    </row>
    <row r="15" spans="2:8" x14ac:dyDescent="0.2">
      <c r="B15" s="2" t="s">
        <v>21</v>
      </c>
      <c r="G15" s="6">
        <f>+G12-G13-G14+1</f>
        <v>3115</v>
      </c>
      <c r="H15" s="6">
        <f>+H12-H13-H14</f>
        <v>4052</v>
      </c>
    </row>
    <row r="16" spans="2:8" x14ac:dyDescent="0.2">
      <c r="B16" t="s">
        <v>28</v>
      </c>
      <c r="G16" s="6">
        <f>+G6</f>
        <v>0</v>
      </c>
      <c r="H16" s="6">
        <f>+H6</f>
        <v>-60</v>
      </c>
    </row>
    <row r="17" spans="2:10" x14ac:dyDescent="0.2">
      <c r="B17" s="2" t="s">
        <v>24</v>
      </c>
      <c r="G17" s="6">
        <f>+G15-G16</f>
        <v>3115</v>
      </c>
      <c r="H17" s="6">
        <f>+H15-H16</f>
        <v>4112</v>
      </c>
    </row>
    <row r="19" spans="2:10" x14ac:dyDescent="0.2">
      <c r="B19" s="3" t="s">
        <v>32</v>
      </c>
    </row>
    <row r="21" spans="2:10" ht="15.75" x14ac:dyDescent="0.25">
      <c r="B21" s="4" t="s">
        <v>60</v>
      </c>
    </row>
    <row r="22" spans="2:10" x14ac:dyDescent="0.2">
      <c r="B22" s="10" t="s">
        <v>63</v>
      </c>
    </row>
    <row r="23" spans="2:10" x14ac:dyDescent="0.2">
      <c r="B23" s="10" t="s">
        <v>62</v>
      </c>
    </row>
    <row r="24" spans="2:10" ht="6.75" customHeight="1" x14ac:dyDescent="0.2">
      <c r="B24" s="10"/>
    </row>
    <row r="25" spans="2:10" x14ac:dyDescent="0.2">
      <c r="B25" s="10" t="s">
        <v>61</v>
      </c>
    </row>
    <row r="26" spans="2:10" x14ac:dyDescent="0.2">
      <c r="B26" s="10"/>
    </row>
    <row r="27" spans="2:10" x14ac:dyDescent="0.2">
      <c r="B27" s="10"/>
    </row>
    <row r="28" spans="2:10" ht="15.75" x14ac:dyDescent="0.25">
      <c r="B28" s="4" t="s">
        <v>54</v>
      </c>
    </row>
    <row r="30" spans="2:10" x14ac:dyDescent="0.2">
      <c r="B30" s="2" t="s">
        <v>56</v>
      </c>
      <c r="E30" s="2"/>
      <c r="J30" s="14" t="s">
        <v>55</v>
      </c>
    </row>
    <row r="31" spans="2:10" x14ac:dyDescent="0.2">
      <c r="C31" t="s">
        <v>5</v>
      </c>
      <c r="E31" s="10" t="s">
        <v>40</v>
      </c>
      <c r="F31" s="10"/>
      <c r="J31" s="14" t="s">
        <v>40</v>
      </c>
    </row>
    <row r="32" spans="2:10" x14ac:dyDescent="0.2">
      <c r="C32" t="s">
        <v>6</v>
      </c>
      <c r="E32" s="13" t="s">
        <v>57</v>
      </c>
      <c r="F32" s="10"/>
      <c r="J32" s="15" t="s">
        <v>45</v>
      </c>
    </row>
    <row r="33" spans="2:10" x14ac:dyDescent="0.2">
      <c r="C33" t="s">
        <v>7</v>
      </c>
      <c r="E33" s="13" t="s">
        <v>58</v>
      </c>
      <c r="F33" s="10"/>
      <c r="J33" s="15" t="s">
        <v>46</v>
      </c>
    </row>
    <row r="34" spans="2:10" x14ac:dyDescent="0.2">
      <c r="E34" s="10"/>
      <c r="F34" s="10"/>
      <c r="J34" s="16"/>
    </row>
    <row r="35" spans="2:10" x14ac:dyDescent="0.2">
      <c r="B35" s="2" t="s">
        <v>8</v>
      </c>
      <c r="E35" s="10"/>
      <c r="F35" s="10"/>
      <c r="J35" s="16"/>
    </row>
    <row r="36" spans="2:10" x14ac:dyDescent="0.2">
      <c r="C36" t="s">
        <v>10</v>
      </c>
      <c r="E36" s="10" t="s">
        <v>49</v>
      </c>
      <c r="F36" s="10"/>
      <c r="J36" s="14" t="s">
        <v>49</v>
      </c>
    </row>
    <row r="37" spans="2:10" x14ac:dyDescent="0.2">
      <c r="C37" t="s">
        <v>11</v>
      </c>
      <c r="E37" s="10" t="s">
        <v>59</v>
      </c>
      <c r="F37" s="10"/>
      <c r="J37" s="14" t="s">
        <v>47</v>
      </c>
    </row>
  </sheetData>
  <pageMargins left="0.55118110236220474" right="0.23622047244094491" top="0.98425196850393704" bottom="0.98425196850393704" header="0.51181102362204722" footer="0.51181102362204722"/>
  <pageSetup paperSize="9" scale="90" orientation="portrait" r:id="rId1"/>
  <headerFooter alignWithMargins="0"/>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32"/>
  <sheetViews>
    <sheetView showGridLines="0" workbookViewId="0">
      <selection activeCell="N16" sqref="N16"/>
    </sheetView>
  </sheetViews>
  <sheetFormatPr defaultColWidth="9.140625" defaultRowHeight="12.75" x14ac:dyDescent="0.2"/>
  <cols>
    <col min="1" max="1" width="3.42578125" customWidth="1"/>
    <col min="6" max="6" width="7.140625" customWidth="1"/>
  </cols>
  <sheetData>
    <row r="2" spans="2:8" ht="15.75" x14ac:dyDescent="0.25">
      <c r="B2" s="4" t="s">
        <v>36</v>
      </c>
    </row>
    <row r="3" spans="2:8" x14ac:dyDescent="0.2">
      <c r="B3" t="s">
        <v>4</v>
      </c>
      <c r="G3" s="1" t="s">
        <v>37</v>
      </c>
      <c r="H3" s="1" t="s">
        <v>38</v>
      </c>
    </row>
    <row r="5" spans="2:8" x14ac:dyDescent="0.2">
      <c r="B5" s="2" t="s">
        <v>25</v>
      </c>
      <c r="G5" s="6">
        <f>G7-G6</f>
        <v>7072</v>
      </c>
      <c r="H5" s="6">
        <f>H7-H6</f>
        <v>7983</v>
      </c>
    </row>
    <row r="6" spans="2:8" x14ac:dyDescent="0.2">
      <c r="B6" t="s">
        <v>27</v>
      </c>
      <c r="G6" s="7">
        <v>-20</v>
      </c>
      <c r="H6" s="7">
        <v>39</v>
      </c>
    </row>
    <row r="7" spans="2:8" x14ac:dyDescent="0.2">
      <c r="B7" s="2" t="s">
        <v>23</v>
      </c>
      <c r="G7" s="6">
        <v>7052</v>
      </c>
      <c r="H7" s="6">
        <v>8022</v>
      </c>
    </row>
    <row r="8" spans="2:8" x14ac:dyDescent="0.2">
      <c r="B8" t="s">
        <v>22</v>
      </c>
      <c r="G8" s="6">
        <v>-360</v>
      </c>
      <c r="H8" s="6">
        <v>-129</v>
      </c>
    </row>
    <row r="9" spans="2:8" x14ac:dyDescent="0.2">
      <c r="B9" s="2" t="s">
        <v>2</v>
      </c>
      <c r="G9" s="6">
        <f>G7+G8-1</f>
        <v>6691</v>
      </c>
      <c r="H9" s="6">
        <f>H7+H8</f>
        <v>7893</v>
      </c>
    </row>
    <row r="10" spans="2:8" x14ac:dyDescent="0.2">
      <c r="B10" t="s">
        <v>15</v>
      </c>
      <c r="G10" s="6">
        <v>-3890</v>
      </c>
      <c r="H10" s="6">
        <v>-4012</v>
      </c>
    </row>
    <row r="11" spans="2:8" x14ac:dyDescent="0.2">
      <c r="B11" t="s">
        <v>16</v>
      </c>
      <c r="G11" s="6">
        <v>29</v>
      </c>
      <c r="H11" s="6">
        <v>-4</v>
      </c>
    </row>
    <row r="12" spans="2:8" x14ac:dyDescent="0.2">
      <c r="B12" s="2" t="s">
        <v>3</v>
      </c>
      <c r="G12" s="6">
        <f>G9+G10+G11</f>
        <v>2830</v>
      </c>
      <c r="H12" s="6">
        <f>H9+H10+H11</f>
        <v>3877</v>
      </c>
    </row>
    <row r="13" spans="2:8" x14ac:dyDescent="0.2">
      <c r="B13" t="s">
        <v>26</v>
      </c>
      <c r="G13" s="6">
        <f>G8</f>
        <v>-360</v>
      </c>
      <c r="H13" s="6">
        <f>H8</f>
        <v>-129</v>
      </c>
    </row>
    <row r="14" spans="2:8" x14ac:dyDescent="0.2">
      <c r="B14" s="2" t="s">
        <v>20</v>
      </c>
      <c r="G14" s="6">
        <f>+G11</f>
        <v>29</v>
      </c>
      <c r="H14" s="6">
        <f>+H11</f>
        <v>-4</v>
      </c>
    </row>
    <row r="15" spans="2:8" x14ac:dyDescent="0.2">
      <c r="B15" s="2" t="s">
        <v>21</v>
      </c>
      <c r="G15" s="6">
        <f>+G12-G13-G14+1</f>
        <v>3162</v>
      </c>
      <c r="H15" s="6">
        <f>+H12-H13-H14</f>
        <v>4010</v>
      </c>
    </row>
    <row r="16" spans="2:8" x14ac:dyDescent="0.2">
      <c r="B16" t="s">
        <v>28</v>
      </c>
      <c r="G16" s="6">
        <f>+G6</f>
        <v>-20</v>
      </c>
      <c r="H16" s="6">
        <f>+H6</f>
        <v>39</v>
      </c>
    </row>
    <row r="17" spans="2:9" x14ac:dyDescent="0.2">
      <c r="B17" s="2" t="s">
        <v>24</v>
      </c>
      <c r="G17" s="6">
        <f>+G15-G16</f>
        <v>3182</v>
      </c>
      <c r="H17" s="6">
        <f>+H15-H16</f>
        <v>3971</v>
      </c>
    </row>
    <row r="19" spans="2:9" x14ac:dyDescent="0.2">
      <c r="B19" s="3" t="s">
        <v>32</v>
      </c>
    </row>
    <row r="23" spans="2:9" ht="15.75" x14ac:dyDescent="0.25">
      <c r="B23" s="4" t="s">
        <v>39</v>
      </c>
    </row>
    <row r="25" spans="2:9" x14ac:dyDescent="0.2">
      <c r="B25" s="2" t="s">
        <v>48</v>
      </c>
      <c r="E25" s="2"/>
      <c r="I25" t="s">
        <v>50</v>
      </c>
    </row>
    <row r="26" spans="2:9" x14ac:dyDescent="0.2">
      <c r="C26" t="s">
        <v>5</v>
      </c>
      <c r="E26" s="11" t="s">
        <v>40</v>
      </c>
      <c r="I26" s="8">
        <v>-0.01</v>
      </c>
    </row>
    <row r="27" spans="2:9" x14ac:dyDescent="0.2">
      <c r="C27" t="s">
        <v>6</v>
      </c>
      <c r="E27" s="12" t="s">
        <v>45</v>
      </c>
      <c r="I27" s="9" t="s">
        <v>41</v>
      </c>
    </row>
    <row r="28" spans="2:9" x14ac:dyDescent="0.2">
      <c r="C28" t="s">
        <v>7</v>
      </c>
      <c r="E28" s="12" t="s">
        <v>46</v>
      </c>
      <c r="I28" s="9" t="s">
        <v>42</v>
      </c>
    </row>
    <row r="29" spans="2:9" x14ac:dyDescent="0.2">
      <c r="E29" s="11"/>
      <c r="I29" s="9"/>
    </row>
    <row r="30" spans="2:9" x14ac:dyDescent="0.2">
      <c r="B30" s="2" t="s">
        <v>8</v>
      </c>
      <c r="E30" s="11"/>
      <c r="I30" s="9"/>
    </row>
    <row r="31" spans="2:9" x14ac:dyDescent="0.2">
      <c r="C31" t="s">
        <v>10</v>
      </c>
      <c r="E31" s="11" t="s">
        <v>49</v>
      </c>
      <c r="F31" s="10"/>
      <c r="I31" s="9" t="s">
        <v>44</v>
      </c>
    </row>
    <row r="32" spans="2:9" x14ac:dyDescent="0.2">
      <c r="C32" t="s">
        <v>11</v>
      </c>
      <c r="E32" s="11" t="s">
        <v>47</v>
      </c>
      <c r="F32" s="10"/>
      <c r="I32" s="9" t="s">
        <v>43</v>
      </c>
    </row>
  </sheetData>
  <phoneticPr fontId="2" type="noConversion"/>
  <pageMargins left="0.75" right="0.75" top="1" bottom="1" header="0.5" footer="0.5"/>
  <pageSetup paperSize="9" orientation="portrait" r:id="rId1"/>
  <headerFooter alignWithMargins="0"/>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32"/>
  <sheetViews>
    <sheetView showGridLines="0" workbookViewId="0">
      <selection activeCell="G40" sqref="G40"/>
    </sheetView>
  </sheetViews>
  <sheetFormatPr defaultColWidth="9.140625" defaultRowHeight="12.75" x14ac:dyDescent="0.2"/>
  <cols>
    <col min="1" max="1" width="3.42578125" customWidth="1"/>
    <col min="6" max="6" width="7.140625" customWidth="1"/>
  </cols>
  <sheetData>
    <row r="2" spans="2:8" ht="15.75" x14ac:dyDescent="0.25">
      <c r="B2" s="4" t="s">
        <v>35</v>
      </c>
    </row>
    <row r="3" spans="2:8" x14ac:dyDescent="0.2">
      <c r="B3" t="s">
        <v>4</v>
      </c>
      <c r="G3" s="1" t="s">
        <v>0</v>
      </c>
      <c r="H3" s="1" t="s">
        <v>1</v>
      </c>
    </row>
    <row r="5" spans="2:8" x14ac:dyDescent="0.2">
      <c r="B5" s="2" t="s">
        <v>25</v>
      </c>
      <c r="G5" s="6">
        <f>G7-G6</f>
        <v>8272</v>
      </c>
      <c r="H5" s="6">
        <f>H7-H6</f>
        <v>7634</v>
      </c>
    </row>
    <row r="6" spans="2:8" x14ac:dyDescent="0.2">
      <c r="B6" t="s">
        <v>27</v>
      </c>
      <c r="G6" s="6">
        <v>570</v>
      </c>
      <c r="H6" s="6">
        <v>50</v>
      </c>
    </row>
    <row r="7" spans="2:8" x14ac:dyDescent="0.2">
      <c r="B7" s="2" t="s">
        <v>23</v>
      </c>
      <c r="G7" s="6">
        <v>8842</v>
      </c>
      <c r="H7" s="6">
        <v>7684</v>
      </c>
    </row>
    <row r="8" spans="2:8" x14ac:dyDescent="0.2">
      <c r="B8" t="s">
        <v>22</v>
      </c>
      <c r="G8" s="6">
        <v>-322</v>
      </c>
      <c r="H8" s="6">
        <v>-235</v>
      </c>
    </row>
    <row r="9" spans="2:8" x14ac:dyDescent="0.2">
      <c r="B9" s="2" t="s">
        <v>2</v>
      </c>
      <c r="G9" s="6">
        <f>G7+G8</f>
        <v>8520</v>
      </c>
      <c r="H9" s="6">
        <f>H7+H8</f>
        <v>7449</v>
      </c>
    </row>
    <row r="10" spans="2:8" x14ac:dyDescent="0.2">
      <c r="B10" t="s">
        <v>15</v>
      </c>
      <c r="G10" s="6">
        <v>-3688</v>
      </c>
      <c r="H10" s="6">
        <v>-3496</v>
      </c>
    </row>
    <row r="11" spans="2:8" x14ac:dyDescent="0.2">
      <c r="B11" t="s">
        <v>16</v>
      </c>
      <c r="G11" s="6">
        <v>-332</v>
      </c>
      <c r="H11" s="6">
        <v>-6</v>
      </c>
    </row>
    <row r="12" spans="2:8" x14ac:dyDescent="0.2">
      <c r="B12" s="2" t="s">
        <v>3</v>
      </c>
      <c r="G12" s="6">
        <f>G9+G10+G11</f>
        <v>4500</v>
      </c>
      <c r="H12" s="6">
        <f>H9+H10+H11</f>
        <v>3947</v>
      </c>
    </row>
    <row r="13" spans="2:8" x14ac:dyDescent="0.2">
      <c r="B13" t="s">
        <v>26</v>
      </c>
      <c r="G13" s="6">
        <f>G8</f>
        <v>-322</v>
      </c>
      <c r="H13" s="6">
        <f>H8</f>
        <v>-235</v>
      </c>
    </row>
    <row r="14" spans="2:8" x14ac:dyDescent="0.2">
      <c r="B14" s="2" t="s">
        <v>20</v>
      </c>
      <c r="G14" s="6">
        <v>-332</v>
      </c>
      <c r="H14" s="6">
        <v>-6</v>
      </c>
    </row>
    <row r="15" spans="2:8" x14ac:dyDescent="0.2">
      <c r="B15" s="2" t="s">
        <v>21</v>
      </c>
      <c r="G15" s="6">
        <f>+G12-G13-G14</f>
        <v>5154</v>
      </c>
      <c r="H15" s="6">
        <f>+H12-H13-H14</f>
        <v>4188</v>
      </c>
    </row>
    <row r="16" spans="2:8" x14ac:dyDescent="0.2">
      <c r="B16" t="s">
        <v>28</v>
      </c>
      <c r="G16" s="6">
        <v>570</v>
      </c>
      <c r="H16" s="6">
        <v>50</v>
      </c>
    </row>
    <row r="17" spans="2:10" x14ac:dyDescent="0.2">
      <c r="B17" s="2" t="s">
        <v>24</v>
      </c>
      <c r="G17" s="6">
        <f>+G15-G16</f>
        <v>4584</v>
      </c>
      <c r="H17" s="6">
        <f>+H15-H16</f>
        <v>4138</v>
      </c>
    </row>
    <row r="19" spans="2:10" x14ac:dyDescent="0.2">
      <c r="B19" s="3" t="s">
        <v>32</v>
      </c>
    </row>
    <row r="22" spans="2:10" ht="15.75" x14ac:dyDescent="0.25">
      <c r="B22" s="4" t="s">
        <v>33</v>
      </c>
    </row>
    <row r="24" spans="2:10" x14ac:dyDescent="0.2">
      <c r="B24" s="2" t="s">
        <v>30</v>
      </c>
      <c r="E24" s="2"/>
      <c r="J24" s="2" t="s">
        <v>29</v>
      </c>
    </row>
    <row r="25" spans="2:10" x14ac:dyDescent="0.2">
      <c r="C25" t="s">
        <v>5</v>
      </c>
      <c r="E25" t="s">
        <v>14</v>
      </c>
      <c r="J25" t="s">
        <v>14</v>
      </c>
    </row>
    <row r="26" spans="2:10" x14ac:dyDescent="0.2">
      <c r="C26" t="s">
        <v>6</v>
      </c>
      <c r="E26" s="5" t="s">
        <v>34</v>
      </c>
      <c r="J26" s="5" t="s">
        <v>18</v>
      </c>
    </row>
    <row r="27" spans="2:10" x14ac:dyDescent="0.2">
      <c r="C27" t="s">
        <v>7</v>
      </c>
      <c r="E27" s="5" t="s">
        <v>17</v>
      </c>
      <c r="J27" s="5" t="s">
        <v>13</v>
      </c>
    </row>
    <row r="29" spans="2:10" x14ac:dyDescent="0.2">
      <c r="B29" s="2" t="s">
        <v>8</v>
      </c>
    </row>
    <row r="30" spans="2:10" x14ac:dyDescent="0.2">
      <c r="C30" t="s">
        <v>9</v>
      </c>
      <c r="E30" t="s">
        <v>12</v>
      </c>
    </row>
    <row r="31" spans="2:10" x14ac:dyDescent="0.2">
      <c r="C31" t="s">
        <v>10</v>
      </c>
      <c r="E31" s="5" t="s">
        <v>19</v>
      </c>
    </row>
    <row r="32" spans="2:10" x14ac:dyDescent="0.2">
      <c r="C32" t="s">
        <v>11</v>
      </c>
      <c r="E32" t="s">
        <v>31</v>
      </c>
    </row>
  </sheetData>
  <phoneticPr fontId="2" type="noConversion"/>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42"/>
  <sheetViews>
    <sheetView showGridLines="0" zoomScale="110" zoomScaleNormal="110" workbookViewId="0">
      <selection activeCell="H30" sqref="H30"/>
    </sheetView>
  </sheetViews>
  <sheetFormatPr defaultColWidth="9.140625" defaultRowHeight="12.75" x14ac:dyDescent="0.2"/>
  <cols>
    <col min="1" max="1" width="3.42578125" style="85" customWidth="1"/>
    <col min="2" max="2" width="20.5703125" style="85" customWidth="1"/>
    <col min="3" max="5" width="9.140625" style="85"/>
    <col min="6" max="6" width="12.5703125" style="85" customWidth="1"/>
    <col min="7" max="7" width="11.5703125" style="85" customWidth="1"/>
    <col min="8" max="8" width="9.85546875" style="85" bestFit="1" customWidth="1"/>
    <col min="9" max="9" width="14.140625" style="85" customWidth="1"/>
    <col min="10" max="10" width="18.28515625" style="85" customWidth="1"/>
    <col min="11" max="12" width="9.140625" style="85"/>
    <col min="13" max="13" width="27.85546875" style="85" customWidth="1"/>
    <col min="14" max="15" width="9.140625" style="85"/>
    <col min="16" max="16" width="6.42578125" style="85" customWidth="1"/>
    <col min="17" max="16384" width="9.140625" style="85"/>
  </cols>
  <sheetData>
    <row r="2" spans="2:18" ht="15.75" x14ac:dyDescent="0.25">
      <c r="B2" s="93" t="s">
        <v>333</v>
      </c>
    </row>
    <row r="3" spans="2:18" x14ac:dyDescent="0.2">
      <c r="B3" s="85" t="s">
        <v>4</v>
      </c>
      <c r="G3" s="98" t="s">
        <v>334</v>
      </c>
      <c r="H3" s="98" t="s">
        <v>288</v>
      </c>
      <c r="I3" s="98"/>
      <c r="P3" s="94"/>
      <c r="R3" s="94"/>
    </row>
    <row r="4" spans="2:18" x14ac:dyDescent="0.2">
      <c r="N4" s="86"/>
    </row>
    <row r="5" spans="2:18" x14ac:dyDescent="0.2">
      <c r="B5" s="96" t="s">
        <v>143</v>
      </c>
      <c r="G5" s="37">
        <f>G7-G6</f>
        <v>11074</v>
      </c>
      <c r="H5" s="37">
        <f>H7-H6</f>
        <v>10580</v>
      </c>
      <c r="I5" s="95"/>
      <c r="N5" s="86"/>
    </row>
    <row r="6" spans="2:18" x14ac:dyDescent="0.2">
      <c r="B6" s="94" t="s">
        <v>209</v>
      </c>
      <c r="G6" s="38">
        <f>-203-48-30</f>
        <v>-281</v>
      </c>
      <c r="H6" s="38">
        <v>280</v>
      </c>
      <c r="I6" s="97"/>
      <c r="N6" s="86"/>
    </row>
    <row r="7" spans="2:18" x14ac:dyDescent="0.2">
      <c r="B7" s="96" t="s">
        <v>145</v>
      </c>
      <c r="G7" s="79">
        <v>10793</v>
      </c>
      <c r="H7" s="79">
        <v>10860</v>
      </c>
      <c r="I7" s="95"/>
    </row>
    <row r="8" spans="2:18" x14ac:dyDescent="0.2">
      <c r="B8" s="85" t="s">
        <v>22</v>
      </c>
      <c r="G8" s="37">
        <v>-326</v>
      </c>
      <c r="H8" s="37">
        <v>-257</v>
      </c>
      <c r="I8" s="95"/>
    </row>
    <row r="9" spans="2:18" x14ac:dyDescent="0.2">
      <c r="B9" s="96" t="s">
        <v>2</v>
      </c>
      <c r="G9" s="37">
        <f>G7+G8</f>
        <v>10467</v>
      </c>
      <c r="H9" s="37">
        <v>10757</v>
      </c>
      <c r="I9" s="95"/>
    </row>
    <row r="10" spans="2:18" x14ac:dyDescent="0.2">
      <c r="B10" s="85" t="s">
        <v>15</v>
      </c>
      <c r="G10" s="37">
        <v>-5094</v>
      </c>
      <c r="H10" s="37">
        <v>-5083</v>
      </c>
      <c r="I10" s="95"/>
      <c r="N10" s="86"/>
      <c r="P10" s="94"/>
    </row>
    <row r="11" spans="2:18" x14ac:dyDescent="0.2">
      <c r="B11" s="94" t="s">
        <v>281</v>
      </c>
      <c r="G11" s="38">
        <f>-1034-155</f>
        <v>-1189</v>
      </c>
      <c r="H11" s="37">
        <v>-2103</v>
      </c>
      <c r="I11" s="95"/>
      <c r="N11" s="86"/>
    </row>
    <row r="12" spans="2:18" x14ac:dyDescent="0.2">
      <c r="B12" s="96" t="s">
        <v>345</v>
      </c>
      <c r="G12" s="37">
        <f>G9+G10+G11</f>
        <v>4184</v>
      </c>
      <c r="H12" s="37">
        <f>H9+H10+H11</f>
        <v>3571</v>
      </c>
      <c r="I12" s="95"/>
    </row>
    <row r="13" spans="2:18" x14ac:dyDescent="0.2">
      <c r="B13" s="85" t="s">
        <v>26</v>
      </c>
      <c r="G13" s="37">
        <f>G8</f>
        <v>-326</v>
      </c>
      <c r="H13" s="37">
        <f>H8</f>
        <v>-257</v>
      </c>
      <c r="I13" s="95"/>
    </row>
    <row r="14" spans="2:18" x14ac:dyDescent="0.2">
      <c r="B14" s="96" t="s">
        <v>20</v>
      </c>
      <c r="G14" s="37">
        <f>G11</f>
        <v>-1189</v>
      </c>
      <c r="H14" s="37">
        <f>H11</f>
        <v>-2103</v>
      </c>
      <c r="I14" s="95"/>
      <c r="N14" s="86"/>
    </row>
    <row r="15" spans="2:18" x14ac:dyDescent="0.2">
      <c r="B15" s="96" t="s">
        <v>331</v>
      </c>
      <c r="G15" s="37">
        <f>G12-G13-G14</f>
        <v>5699</v>
      </c>
      <c r="H15" s="37">
        <f>H12-H13-H14</f>
        <v>5931</v>
      </c>
      <c r="I15" s="95"/>
    </row>
    <row r="16" spans="2:18" x14ac:dyDescent="0.2">
      <c r="B16" s="94" t="s">
        <v>210</v>
      </c>
      <c r="G16" s="37">
        <f>G6</f>
        <v>-281</v>
      </c>
      <c r="H16" s="37">
        <f>H6</f>
        <v>280</v>
      </c>
      <c r="I16" s="95"/>
    </row>
    <row r="17" spans="1:18" x14ac:dyDescent="0.2">
      <c r="B17" s="96" t="s">
        <v>332</v>
      </c>
      <c r="G17" s="37">
        <f>G15-G16</f>
        <v>5980</v>
      </c>
      <c r="H17" s="37">
        <f>H15-H16</f>
        <v>5651</v>
      </c>
      <c r="I17" s="95"/>
    </row>
    <row r="19" spans="1:18" x14ac:dyDescent="0.2">
      <c r="B19" s="92" t="s">
        <v>279</v>
      </c>
      <c r="C19" s="86"/>
      <c r="D19" s="86"/>
      <c r="E19" s="86"/>
      <c r="F19" s="86"/>
      <c r="G19" s="86"/>
      <c r="H19" s="86"/>
      <c r="I19" s="86"/>
      <c r="J19" s="86"/>
      <c r="K19" s="86"/>
      <c r="L19" s="86"/>
      <c r="M19" s="86"/>
    </row>
    <row r="20" spans="1:18" x14ac:dyDescent="0.2">
      <c r="B20" s="105"/>
      <c r="C20" s="86"/>
      <c r="D20" s="86"/>
      <c r="E20" s="86"/>
      <c r="F20" s="86"/>
      <c r="G20" s="86"/>
      <c r="H20" s="86"/>
      <c r="I20" s="86"/>
      <c r="J20" s="86"/>
      <c r="K20" s="86"/>
      <c r="L20" s="86"/>
      <c r="M20" s="86"/>
    </row>
    <row r="21" spans="1:18" ht="15.75" x14ac:dyDescent="0.25">
      <c r="B21" s="93" t="s">
        <v>129</v>
      </c>
      <c r="C21" s="86"/>
      <c r="D21" s="86"/>
      <c r="E21" s="86"/>
      <c r="F21" s="86"/>
      <c r="G21" s="86"/>
      <c r="H21" s="86"/>
      <c r="I21" s="86"/>
      <c r="J21" s="86"/>
      <c r="K21" s="86"/>
      <c r="L21" s="86"/>
      <c r="M21" s="86"/>
    </row>
    <row r="22" spans="1:18" s="96" customFormat="1" ht="15.75" x14ac:dyDescent="0.25">
      <c r="B22" s="93"/>
      <c r="C22" s="159"/>
      <c r="D22" s="159"/>
      <c r="E22" s="159"/>
      <c r="F22" s="159"/>
      <c r="G22" s="159"/>
      <c r="H22" s="159"/>
      <c r="I22" s="159"/>
      <c r="J22" s="159"/>
      <c r="K22" s="159"/>
      <c r="L22" s="159"/>
      <c r="M22" s="159"/>
    </row>
    <row r="23" spans="1:18" s="160" customFormat="1" ht="12.75" customHeight="1" x14ac:dyDescent="0.2">
      <c r="B23" s="181" t="s">
        <v>342</v>
      </c>
      <c r="C23" s="181"/>
      <c r="D23" s="181"/>
      <c r="E23" s="181"/>
      <c r="F23" s="181"/>
      <c r="G23" s="181"/>
      <c r="H23" s="181"/>
      <c r="I23" s="181"/>
      <c r="J23" s="181"/>
      <c r="K23" s="181"/>
      <c r="L23" s="181"/>
      <c r="M23" s="181"/>
      <c r="N23" s="161"/>
      <c r="O23" s="161"/>
      <c r="P23" s="161"/>
      <c r="Q23" s="161"/>
      <c r="R23" s="161"/>
    </row>
    <row r="24" spans="1:18" s="160" customFormat="1" x14ac:dyDescent="0.2">
      <c r="B24" s="181" t="s">
        <v>335</v>
      </c>
      <c r="C24" s="181"/>
      <c r="D24" s="181"/>
      <c r="E24" s="181"/>
      <c r="F24" s="181"/>
      <c r="G24" s="181"/>
      <c r="H24" s="181"/>
      <c r="I24" s="181"/>
      <c r="J24" s="181"/>
      <c r="K24" s="181"/>
      <c r="L24" s="181"/>
      <c r="M24" s="181"/>
      <c r="N24" s="161"/>
      <c r="O24" s="161"/>
      <c r="P24" s="161"/>
      <c r="Q24" s="161"/>
      <c r="R24" s="161"/>
    </row>
    <row r="25" spans="1:18" s="94" customFormat="1" x14ac:dyDescent="0.2">
      <c r="B25" s="158"/>
      <c r="C25" s="157"/>
      <c r="D25" s="157"/>
      <c r="E25" s="157"/>
      <c r="F25" s="157"/>
      <c r="G25" s="157"/>
      <c r="H25" s="157"/>
      <c r="I25" s="157"/>
      <c r="J25" s="157"/>
      <c r="K25" s="157"/>
      <c r="L25" s="157"/>
      <c r="M25" s="157"/>
      <c r="N25" s="110"/>
      <c r="O25" s="110"/>
      <c r="P25" s="110"/>
      <c r="Q25" s="110"/>
      <c r="R25" s="110"/>
    </row>
    <row r="26" spans="1:18" s="94" customFormat="1" x14ac:dyDescent="0.2">
      <c r="B26" s="181" t="s">
        <v>343</v>
      </c>
      <c r="C26" s="181"/>
      <c r="D26" s="181"/>
      <c r="E26" s="181"/>
      <c r="F26" s="181"/>
      <c r="G26" s="181"/>
      <c r="H26" s="181"/>
      <c r="I26" s="181"/>
      <c r="J26" s="181"/>
      <c r="K26" s="181"/>
      <c r="L26" s="181"/>
      <c r="M26" s="181"/>
      <c r="N26" s="110"/>
      <c r="O26" s="110"/>
      <c r="P26" s="110"/>
      <c r="Q26" s="110"/>
      <c r="R26" s="110"/>
    </row>
    <row r="27" spans="1:18" s="94" customFormat="1" x14ac:dyDescent="0.2">
      <c r="B27" s="157"/>
      <c r="C27" s="157"/>
      <c r="D27" s="157"/>
      <c r="E27" s="157"/>
      <c r="F27" s="157"/>
      <c r="G27" s="157"/>
      <c r="H27" s="157"/>
      <c r="I27" s="157"/>
      <c r="J27" s="157"/>
      <c r="K27" s="157"/>
      <c r="L27" s="157"/>
      <c r="M27" s="157"/>
      <c r="N27" s="110"/>
      <c r="O27" s="110"/>
      <c r="P27" s="110"/>
      <c r="Q27" s="110"/>
      <c r="R27" s="110"/>
    </row>
    <row r="28" spans="1:18" ht="13.5" thickBot="1" x14ac:dyDescent="0.25">
      <c r="A28" s="87"/>
      <c r="B28" s="106"/>
      <c r="C28" s="106"/>
      <c r="D28" s="106"/>
      <c r="E28" s="106"/>
      <c r="F28" s="106"/>
      <c r="G28" s="106"/>
      <c r="H28" s="106"/>
      <c r="I28" s="106"/>
      <c r="J28" s="106"/>
      <c r="K28" s="106"/>
      <c r="L28" s="106"/>
      <c r="M28" s="106"/>
    </row>
    <row r="29" spans="1:18" ht="15.75" x14ac:dyDescent="0.25">
      <c r="A29" s="87"/>
      <c r="B29" s="111" t="s">
        <v>339</v>
      </c>
      <c r="C29" s="112"/>
      <c r="D29" s="112"/>
      <c r="E29" s="112"/>
      <c r="F29" s="112"/>
      <c r="G29" s="112"/>
      <c r="H29" s="114"/>
      <c r="I29" s="119"/>
      <c r="J29" s="89"/>
      <c r="K29" s="89"/>
      <c r="L29" s="89"/>
      <c r="M29" s="86"/>
    </row>
    <row r="30" spans="1:18" s="87" customFormat="1" ht="15.75" x14ac:dyDescent="0.25">
      <c r="B30" s="115"/>
      <c r="C30" s="116"/>
      <c r="D30" s="116"/>
      <c r="E30" s="116"/>
      <c r="F30" s="117"/>
      <c r="G30" s="144"/>
      <c r="H30" s="162">
        <v>2016</v>
      </c>
      <c r="I30" s="144"/>
      <c r="K30" s="89"/>
      <c r="L30" s="89"/>
      <c r="M30" s="89"/>
    </row>
    <row r="31" spans="1:18" s="87" customFormat="1" x14ac:dyDescent="0.2">
      <c r="B31" s="121"/>
      <c r="C31" s="116" t="s">
        <v>73</v>
      </c>
      <c r="D31" s="116"/>
      <c r="E31" s="116"/>
      <c r="F31" s="137" t="s">
        <v>313</v>
      </c>
      <c r="G31" s="144"/>
      <c r="H31" s="163" t="s">
        <v>336</v>
      </c>
      <c r="I31" s="144"/>
      <c r="J31" s="108"/>
      <c r="K31" s="89"/>
      <c r="L31" s="89"/>
      <c r="M31" s="89"/>
    </row>
    <row r="32" spans="1:18" s="87" customFormat="1" x14ac:dyDescent="0.2">
      <c r="B32" s="121"/>
      <c r="C32" s="116" t="s">
        <v>151</v>
      </c>
      <c r="D32" s="116"/>
      <c r="E32" s="116"/>
      <c r="F32" s="138" t="s">
        <v>341</v>
      </c>
      <c r="G32" s="144"/>
      <c r="H32" s="163" t="s">
        <v>337</v>
      </c>
      <c r="I32" s="144"/>
      <c r="J32" s="108"/>
      <c r="K32" s="89"/>
      <c r="L32" s="89"/>
      <c r="M32" s="89"/>
    </row>
    <row r="33" spans="1:13" s="87" customFormat="1" x14ac:dyDescent="0.2">
      <c r="B33" s="121"/>
      <c r="C33" s="116" t="s">
        <v>152</v>
      </c>
      <c r="D33" s="116"/>
      <c r="E33" s="116"/>
      <c r="F33" s="138" t="s">
        <v>340</v>
      </c>
      <c r="G33" s="144"/>
      <c r="H33" s="163" t="s">
        <v>338</v>
      </c>
      <c r="I33" s="144"/>
      <c r="J33" s="108"/>
      <c r="K33" s="89"/>
      <c r="L33" s="89"/>
      <c r="M33" s="89"/>
    </row>
    <row r="34" spans="1:13" s="87" customFormat="1" ht="18.75" customHeight="1" x14ac:dyDescent="0.2">
      <c r="B34" s="130" t="s">
        <v>301</v>
      </c>
      <c r="C34" s="119"/>
      <c r="D34" s="119"/>
      <c r="E34" s="119"/>
      <c r="F34" s="119"/>
      <c r="G34" s="119"/>
      <c r="H34" s="164"/>
      <c r="I34" s="119"/>
      <c r="J34" s="107"/>
      <c r="K34" s="89"/>
      <c r="L34" s="89"/>
      <c r="M34" s="89"/>
    </row>
    <row r="35" spans="1:13" s="87" customFormat="1" x14ac:dyDescent="0.2">
      <c r="B35" s="125"/>
      <c r="C35" s="119"/>
      <c r="D35" s="119"/>
      <c r="E35" s="119"/>
      <c r="F35" s="119"/>
      <c r="G35" s="119"/>
      <c r="H35" s="164"/>
      <c r="I35" s="119"/>
      <c r="J35" s="107"/>
      <c r="K35" s="89"/>
      <c r="L35" s="89"/>
      <c r="M35" s="89"/>
    </row>
    <row r="36" spans="1:13" s="87" customFormat="1" ht="27.75" customHeight="1" thickBot="1" x14ac:dyDescent="0.25">
      <c r="B36" s="179" t="s">
        <v>344</v>
      </c>
      <c r="C36" s="180"/>
      <c r="D36" s="180"/>
      <c r="E36" s="180"/>
      <c r="F36" s="180"/>
      <c r="G36" s="180"/>
      <c r="H36" s="182"/>
      <c r="I36" s="119"/>
      <c r="J36" s="89"/>
      <c r="K36" s="89"/>
      <c r="L36" s="89"/>
      <c r="M36" s="89"/>
    </row>
    <row r="37" spans="1:13" x14ac:dyDescent="0.2">
      <c r="A37" s="87"/>
      <c r="B37" s="89"/>
      <c r="C37" s="89"/>
      <c r="D37" s="89"/>
      <c r="E37" s="89"/>
      <c r="F37" s="89"/>
      <c r="G37" s="89"/>
      <c r="H37" s="89"/>
      <c r="I37" s="89"/>
      <c r="J37" s="89"/>
      <c r="K37" s="89"/>
      <c r="L37" s="89"/>
      <c r="M37" s="86"/>
    </row>
    <row r="38" spans="1:13" x14ac:dyDescent="0.2">
      <c r="A38" s="87"/>
      <c r="B38" s="89"/>
      <c r="C38" s="89"/>
      <c r="D38" s="89"/>
      <c r="E38" s="89"/>
      <c r="F38" s="89"/>
      <c r="G38" s="89"/>
      <c r="H38" s="89"/>
      <c r="I38" s="89"/>
      <c r="J38" s="89"/>
      <c r="K38" s="89"/>
      <c r="L38" s="89"/>
      <c r="M38" s="86"/>
    </row>
    <row r="39" spans="1:13" x14ac:dyDescent="0.2">
      <c r="A39" s="87"/>
      <c r="B39" s="89"/>
      <c r="C39" s="89"/>
      <c r="D39" s="89"/>
      <c r="E39" s="89"/>
      <c r="F39" s="89"/>
      <c r="G39" s="89"/>
      <c r="H39" s="89"/>
      <c r="I39" s="89"/>
      <c r="J39" s="89"/>
      <c r="K39" s="89"/>
      <c r="L39" s="89"/>
      <c r="M39" s="86"/>
    </row>
    <row r="40" spans="1:13" x14ac:dyDescent="0.2">
      <c r="A40" s="87"/>
      <c r="B40" s="89"/>
      <c r="C40" s="87"/>
      <c r="D40" s="87"/>
      <c r="E40" s="87"/>
      <c r="F40" s="87"/>
      <c r="G40" s="87"/>
      <c r="H40" s="87"/>
      <c r="I40" s="87"/>
      <c r="J40" s="87"/>
      <c r="K40" s="87"/>
      <c r="L40" s="87"/>
    </row>
    <row r="41" spans="1:13" x14ac:dyDescent="0.2">
      <c r="A41" s="87"/>
      <c r="B41" s="87"/>
      <c r="C41" s="87"/>
      <c r="D41" s="87"/>
      <c r="E41" s="87"/>
      <c r="F41" s="87"/>
      <c r="G41" s="87"/>
      <c r="H41" s="87"/>
      <c r="I41" s="87"/>
      <c r="J41" s="87"/>
      <c r="K41" s="87"/>
      <c r="L41" s="87"/>
    </row>
    <row r="42" spans="1:13" x14ac:dyDescent="0.2">
      <c r="A42" s="87"/>
      <c r="B42" s="87"/>
      <c r="C42" s="87"/>
      <c r="D42" s="87"/>
      <c r="E42" s="87"/>
      <c r="F42" s="87"/>
      <c r="G42" s="87"/>
      <c r="H42" s="87"/>
      <c r="I42" s="87"/>
      <c r="J42" s="87"/>
      <c r="K42" s="87"/>
      <c r="L42" s="87"/>
    </row>
  </sheetData>
  <mergeCells count="4">
    <mergeCell ref="B23:M23"/>
    <mergeCell ref="B24:M24"/>
    <mergeCell ref="B36:H36"/>
    <mergeCell ref="B26:M26"/>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39"/>
  <sheetViews>
    <sheetView showGridLines="0" zoomScaleNormal="100" workbookViewId="0">
      <selection activeCell="H30" sqref="H30"/>
    </sheetView>
  </sheetViews>
  <sheetFormatPr defaultColWidth="9.140625" defaultRowHeight="12.75" x14ac:dyDescent="0.2"/>
  <cols>
    <col min="1" max="1" width="3.42578125" style="85" customWidth="1"/>
    <col min="2" max="2" width="20.5703125" style="85" customWidth="1"/>
    <col min="3" max="5" width="9.140625" style="85"/>
    <col min="6" max="6" width="12.5703125" style="85" customWidth="1"/>
    <col min="7" max="7" width="11.5703125" style="85" customWidth="1"/>
    <col min="8" max="8" width="9.85546875" style="85" bestFit="1" customWidth="1"/>
    <col min="9" max="9" width="14.140625" style="85" customWidth="1"/>
    <col min="10" max="10" width="18.28515625" style="85" customWidth="1"/>
    <col min="11" max="12" width="9.140625" style="85"/>
    <col min="13" max="13" width="27.85546875" style="85" customWidth="1"/>
    <col min="14" max="15" width="9.140625" style="85"/>
    <col min="16" max="16" width="6.42578125" style="85" customWidth="1"/>
    <col min="17" max="16384" width="9.140625" style="85"/>
  </cols>
  <sheetData>
    <row r="2" spans="2:18" ht="15.75" x14ac:dyDescent="0.25">
      <c r="B2" s="93" t="s">
        <v>321</v>
      </c>
    </row>
    <row r="3" spans="2:18" x14ac:dyDescent="0.2">
      <c r="B3" s="85" t="s">
        <v>4</v>
      </c>
      <c r="G3" s="98" t="s">
        <v>322</v>
      </c>
      <c r="H3" s="98" t="s">
        <v>277</v>
      </c>
      <c r="I3" s="98"/>
      <c r="P3" s="94"/>
      <c r="R3" s="94"/>
    </row>
    <row r="4" spans="2:18" x14ac:dyDescent="0.2">
      <c r="N4" s="86"/>
    </row>
    <row r="5" spans="2:18" x14ac:dyDescent="0.2">
      <c r="B5" s="96" t="s">
        <v>143</v>
      </c>
      <c r="G5" s="37">
        <f>G7-G6</f>
        <v>12459</v>
      </c>
      <c r="H5" s="37">
        <f>H7-H6</f>
        <v>11755</v>
      </c>
      <c r="I5" s="95"/>
      <c r="N5" s="86"/>
    </row>
    <row r="6" spans="2:18" x14ac:dyDescent="0.2">
      <c r="B6" s="94" t="s">
        <v>209</v>
      </c>
      <c r="G6" s="38">
        <v>0</v>
      </c>
      <c r="H6" s="38">
        <v>93</v>
      </c>
      <c r="I6" s="97"/>
      <c r="N6" s="86"/>
    </row>
    <row r="7" spans="2:18" x14ac:dyDescent="0.2">
      <c r="B7" s="96" t="s">
        <v>145</v>
      </c>
      <c r="G7" s="79">
        <v>12459</v>
      </c>
      <c r="H7" s="79">
        <v>11848</v>
      </c>
      <c r="I7" s="95"/>
    </row>
    <row r="8" spans="2:18" x14ac:dyDescent="0.2">
      <c r="B8" s="85" t="s">
        <v>22</v>
      </c>
      <c r="G8" s="79">
        <v>-76</v>
      </c>
      <c r="H8" s="79">
        <v>-419</v>
      </c>
      <c r="I8" s="95"/>
    </row>
    <row r="9" spans="2:18" x14ac:dyDescent="0.2">
      <c r="B9" s="96" t="s">
        <v>2</v>
      </c>
      <c r="G9" s="37">
        <f>G7+G8</f>
        <v>12383</v>
      </c>
      <c r="H9" s="37">
        <v>10757</v>
      </c>
      <c r="I9" s="95"/>
    </row>
    <row r="10" spans="2:18" x14ac:dyDescent="0.2">
      <c r="B10" s="85" t="s">
        <v>15</v>
      </c>
      <c r="G10" s="79">
        <v>-5073</v>
      </c>
      <c r="H10" s="79">
        <v>-4785</v>
      </c>
      <c r="I10" s="95"/>
      <c r="N10" s="86"/>
      <c r="P10" s="94"/>
    </row>
    <row r="11" spans="2:18" x14ac:dyDescent="0.2">
      <c r="B11" s="94" t="s">
        <v>281</v>
      </c>
      <c r="G11" s="84">
        <v>-4143</v>
      </c>
      <c r="H11" s="79">
        <v>-58</v>
      </c>
      <c r="I11" s="95"/>
      <c r="N11" s="86"/>
    </row>
    <row r="12" spans="2:18" x14ac:dyDescent="0.2">
      <c r="B12" s="96" t="s">
        <v>330</v>
      </c>
      <c r="G12" s="37">
        <f>G9+G10+G11</f>
        <v>3167</v>
      </c>
      <c r="H12" s="37">
        <f>H9+H10+H11</f>
        <v>5914</v>
      </c>
      <c r="I12" s="95"/>
    </row>
    <row r="13" spans="2:18" x14ac:dyDescent="0.2">
      <c r="B13" s="85" t="s">
        <v>26</v>
      </c>
      <c r="G13" s="37">
        <f>G8</f>
        <v>-76</v>
      </c>
      <c r="H13" s="37">
        <f>H8</f>
        <v>-419</v>
      </c>
      <c r="I13" s="95"/>
    </row>
    <row r="14" spans="2:18" x14ac:dyDescent="0.2">
      <c r="B14" s="96" t="s">
        <v>20</v>
      </c>
      <c r="G14" s="37">
        <f>G11</f>
        <v>-4143</v>
      </c>
      <c r="H14" s="37">
        <f>H11</f>
        <v>-58</v>
      </c>
      <c r="I14" s="95"/>
      <c r="N14" s="86"/>
    </row>
    <row r="15" spans="2:18" x14ac:dyDescent="0.2">
      <c r="B15" s="96" t="s">
        <v>331</v>
      </c>
      <c r="G15" s="37">
        <f>G12-G13-G14</f>
        <v>7386</v>
      </c>
      <c r="H15" s="37">
        <f>H12-H13-H14</f>
        <v>6391</v>
      </c>
      <c r="I15" s="95"/>
    </row>
    <row r="16" spans="2:18" x14ac:dyDescent="0.2">
      <c r="B16" s="94" t="s">
        <v>210</v>
      </c>
      <c r="G16" s="37">
        <f>G6</f>
        <v>0</v>
      </c>
      <c r="H16" s="37">
        <f>H6</f>
        <v>93</v>
      </c>
      <c r="I16" s="95"/>
    </row>
    <row r="17" spans="1:18" x14ac:dyDescent="0.2">
      <c r="B17" s="96" t="s">
        <v>332</v>
      </c>
      <c r="G17" s="37">
        <f>G15-G16</f>
        <v>7386</v>
      </c>
      <c r="H17" s="37">
        <f>H15-H16</f>
        <v>6298</v>
      </c>
      <c r="I17" s="95"/>
    </row>
    <row r="19" spans="1:18" x14ac:dyDescent="0.2">
      <c r="B19" s="92" t="s">
        <v>279</v>
      </c>
      <c r="C19" s="86"/>
      <c r="D19" s="86"/>
      <c r="E19" s="86"/>
      <c r="F19" s="86"/>
      <c r="G19" s="86"/>
      <c r="H19" s="86"/>
      <c r="I19" s="86"/>
      <c r="J19" s="86"/>
      <c r="K19" s="86"/>
      <c r="L19" s="86"/>
      <c r="M19" s="86"/>
    </row>
    <row r="20" spans="1:18" x14ac:dyDescent="0.2">
      <c r="B20" s="105"/>
      <c r="C20" s="86"/>
      <c r="D20" s="86"/>
      <c r="E20" s="86"/>
      <c r="F20" s="86"/>
      <c r="G20" s="86"/>
      <c r="H20" s="86"/>
      <c r="I20" s="86"/>
      <c r="J20" s="86"/>
      <c r="K20" s="86"/>
      <c r="L20" s="86"/>
      <c r="M20" s="86"/>
    </row>
    <row r="21" spans="1:18" ht="15.75" x14ac:dyDescent="0.25">
      <c r="B21" s="93" t="s">
        <v>129</v>
      </c>
      <c r="C21" s="86"/>
      <c r="D21" s="86"/>
      <c r="E21" s="86"/>
      <c r="F21" s="86"/>
      <c r="G21" s="86"/>
      <c r="H21" s="86"/>
      <c r="I21" s="86"/>
      <c r="J21" s="86"/>
      <c r="K21" s="86"/>
      <c r="L21" s="86"/>
      <c r="M21" s="86"/>
    </row>
    <row r="22" spans="1:18" ht="15.75" x14ac:dyDescent="0.25">
      <c r="B22" s="93"/>
      <c r="C22" s="86"/>
      <c r="D22" s="86"/>
      <c r="E22" s="86"/>
      <c r="F22" s="86"/>
      <c r="G22" s="86"/>
      <c r="H22" s="86"/>
      <c r="I22" s="86"/>
      <c r="J22" s="86"/>
      <c r="K22" s="86"/>
      <c r="L22" s="86"/>
      <c r="M22" s="86"/>
    </row>
    <row r="23" spans="1:18" s="94" customFormat="1" ht="12.75" customHeight="1" x14ac:dyDescent="0.2">
      <c r="B23" s="183" t="s">
        <v>327</v>
      </c>
      <c r="C23" s="183"/>
      <c r="D23" s="183"/>
      <c r="E23" s="183"/>
      <c r="F23" s="183"/>
      <c r="G23" s="183"/>
      <c r="H23" s="183"/>
      <c r="I23" s="183"/>
      <c r="J23" s="183"/>
      <c r="K23" s="183"/>
      <c r="L23" s="183"/>
      <c r="M23" s="183"/>
      <c r="N23" s="110"/>
      <c r="O23" s="110"/>
      <c r="P23" s="110"/>
      <c r="Q23" s="110"/>
      <c r="R23" s="110"/>
    </row>
    <row r="24" spans="1:18" s="94" customFormat="1" x14ac:dyDescent="0.2">
      <c r="B24" s="183" t="s">
        <v>328</v>
      </c>
      <c r="C24" s="183"/>
      <c r="D24" s="183"/>
      <c r="E24" s="183"/>
      <c r="F24" s="183"/>
      <c r="G24" s="183"/>
      <c r="H24" s="183"/>
      <c r="I24" s="183"/>
      <c r="J24" s="183"/>
      <c r="K24" s="183"/>
      <c r="L24" s="183"/>
      <c r="M24" s="183"/>
      <c r="N24" s="110"/>
      <c r="O24" s="110"/>
      <c r="P24" s="110"/>
      <c r="Q24" s="110"/>
      <c r="R24" s="110"/>
    </row>
    <row r="25" spans="1:18" s="94" customFormat="1" x14ac:dyDescent="0.2">
      <c r="B25" s="155"/>
      <c r="C25" s="155"/>
      <c r="D25" s="155"/>
      <c r="E25" s="155"/>
      <c r="F25" s="155"/>
      <c r="G25" s="155"/>
      <c r="H25" s="155"/>
      <c r="I25" s="155"/>
      <c r="J25" s="155"/>
      <c r="K25" s="155"/>
      <c r="L25" s="155"/>
      <c r="M25" s="155"/>
      <c r="N25" s="110"/>
      <c r="O25" s="110"/>
      <c r="P25" s="110"/>
      <c r="Q25" s="110"/>
      <c r="R25" s="110"/>
    </row>
    <row r="26" spans="1:18" x14ac:dyDescent="0.2">
      <c r="A26" s="87"/>
      <c r="B26" s="106"/>
      <c r="C26" s="106"/>
      <c r="D26" s="106"/>
      <c r="E26" s="106"/>
      <c r="F26" s="106"/>
      <c r="G26" s="106"/>
      <c r="H26" s="106"/>
      <c r="I26" s="106"/>
      <c r="J26" s="106"/>
      <c r="K26" s="106"/>
      <c r="L26" s="106"/>
      <c r="M26" s="106"/>
    </row>
    <row r="27" spans="1:18" ht="15.75" x14ac:dyDescent="0.25">
      <c r="A27" s="87"/>
      <c r="B27" s="139" t="s">
        <v>323</v>
      </c>
      <c r="C27" s="140"/>
      <c r="D27" s="140"/>
      <c r="E27" s="140"/>
      <c r="F27" s="140"/>
      <c r="G27" s="140"/>
      <c r="H27" s="142"/>
      <c r="I27" s="119"/>
      <c r="J27" s="89"/>
      <c r="K27" s="86"/>
      <c r="L27" s="86"/>
      <c r="M27" s="86"/>
    </row>
    <row r="28" spans="1:18" s="87" customFormat="1" ht="15.75" x14ac:dyDescent="0.25">
      <c r="B28" s="143"/>
      <c r="C28" s="116"/>
      <c r="D28" s="116"/>
      <c r="E28" s="116"/>
      <c r="F28" s="117"/>
      <c r="H28" s="145" t="s">
        <v>283</v>
      </c>
      <c r="I28" s="144"/>
      <c r="K28" s="89"/>
      <c r="L28" s="89"/>
      <c r="M28" s="89"/>
    </row>
    <row r="29" spans="1:18" s="87" customFormat="1" x14ac:dyDescent="0.2">
      <c r="B29" s="146"/>
      <c r="C29" s="116" t="s">
        <v>73</v>
      </c>
      <c r="D29" s="116"/>
      <c r="E29" s="116"/>
      <c r="F29" s="137" t="s">
        <v>313</v>
      </c>
      <c r="H29" s="148" t="s">
        <v>324</v>
      </c>
      <c r="I29" s="144"/>
      <c r="J29" s="108"/>
      <c r="K29" s="89"/>
      <c r="L29" s="89"/>
      <c r="M29" s="89"/>
    </row>
    <row r="30" spans="1:18" s="87" customFormat="1" x14ac:dyDescent="0.2">
      <c r="B30" s="146"/>
      <c r="C30" s="116" t="s">
        <v>151</v>
      </c>
      <c r="D30" s="116"/>
      <c r="E30" s="116"/>
      <c r="F30" s="138" t="s">
        <v>314</v>
      </c>
      <c r="H30" s="148" t="s">
        <v>325</v>
      </c>
      <c r="I30" s="144"/>
      <c r="J30" s="108"/>
      <c r="K30" s="89"/>
      <c r="L30" s="89"/>
      <c r="M30" s="89"/>
    </row>
    <row r="31" spans="1:18" s="87" customFormat="1" x14ac:dyDescent="0.2">
      <c r="B31" s="146"/>
      <c r="C31" s="116" t="s">
        <v>152</v>
      </c>
      <c r="D31" s="116"/>
      <c r="E31" s="116"/>
      <c r="F31" s="138" t="s">
        <v>315</v>
      </c>
      <c r="H31" s="148" t="s">
        <v>326</v>
      </c>
      <c r="I31" s="144"/>
      <c r="J31" s="108"/>
      <c r="K31" s="89"/>
      <c r="L31" s="89"/>
      <c r="M31" s="89"/>
    </row>
    <row r="32" spans="1:18" s="87" customFormat="1" ht="18.75" customHeight="1" x14ac:dyDescent="0.2">
      <c r="B32" s="149" t="s">
        <v>301</v>
      </c>
      <c r="C32" s="119"/>
      <c r="D32" s="119"/>
      <c r="E32" s="119"/>
      <c r="F32" s="119"/>
      <c r="G32" s="119"/>
      <c r="H32" s="156"/>
      <c r="I32" s="119"/>
      <c r="J32" s="107"/>
      <c r="K32" s="89"/>
      <c r="L32" s="89"/>
      <c r="M32" s="89"/>
    </row>
    <row r="33" spans="1:13" s="87" customFormat="1" x14ac:dyDescent="0.2">
      <c r="B33" s="150"/>
      <c r="C33" s="119"/>
      <c r="D33" s="119"/>
      <c r="E33" s="119"/>
      <c r="F33" s="119"/>
      <c r="G33" s="119"/>
      <c r="H33" s="156"/>
      <c r="I33" s="119"/>
      <c r="J33" s="107"/>
      <c r="K33" s="89"/>
      <c r="L33" s="89"/>
      <c r="M33" s="89"/>
    </row>
    <row r="34" spans="1:13" s="87" customFormat="1" ht="27.75" customHeight="1" x14ac:dyDescent="0.2">
      <c r="B34" s="184" t="s">
        <v>329</v>
      </c>
      <c r="C34" s="185"/>
      <c r="D34" s="185"/>
      <c r="E34" s="185"/>
      <c r="F34" s="185"/>
      <c r="G34" s="185"/>
      <c r="H34" s="186"/>
      <c r="I34" s="119"/>
      <c r="J34" s="89"/>
      <c r="K34" s="89"/>
      <c r="L34" s="89"/>
      <c r="M34" s="89"/>
    </row>
    <row r="35" spans="1:13" s="87" customFormat="1" x14ac:dyDescent="0.2">
      <c r="B35" s="152"/>
      <c r="C35" s="153"/>
      <c r="D35" s="153"/>
      <c r="E35" s="153"/>
      <c r="F35" s="153"/>
      <c r="G35" s="153"/>
      <c r="H35" s="154"/>
      <c r="I35" s="119"/>
      <c r="J35" s="89"/>
      <c r="K35" s="89"/>
      <c r="L35" s="89"/>
      <c r="M35" s="89"/>
    </row>
    <row r="36" spans="1:13" x14ac:dyDescent="0.2">
      <c r="A36" s="87"/>
      <c r="B36" s="89"/>
      <c r="C36" s="89"/>
      <c r="D36" s="89"/>
      <c r="E36" s="89"/>
      <c r="F36" s="89"/>
      <c r="G36" s="89"/>
      <c r="H36" s="89"/>
      <c r="I36" s="89"/>
      <c r="J36" s="89"/>
      <c r="K36" s="86"/>
      <c r="L36" s="86"/>
      <c r="M36" s="86"/>
    </row>
    <row r="37" spans="1:13" x14ac:dyDescent="0.2">
      <c r="B37" s="86"/>
      <c r="C37" s="86"/>
      <c r="D37" s="86"/>
      <c r="E37" s="86"/>
      <c r="F37" s="89"/>
      <c r="G37" s="89"/>
      <c r="H37" s="89"/>
      <c r="I37" s="89"/>
      <c r="J37" s="89"/>
      <c r="K37" s="86"/>
      <c r="L37" s="86"/>
      <c r="M37" s="86"/>
    </row>
    <row r="38" spans="1:13" x14ac:dyDescent="0.2">
      <c r="B38" s="86"/>
      <c r="C38" s="86"/>
      <c r="D38" s="86"/>
      <c r="E38" s="86"/>
      <c r="F38" s="86"/>
      <c r="G38" s="86"/>
      <c r="H38" s="86"/>
      <c r="I38" s="86"/>
      <c r="J38" s="86"/>
      <c r="K38" s="86"/>
      <c r="L38" s="86"/>
      <c r="M38" s="86"/>
    </row>
    <row r="39" spans="1:13" x14ac:dyDescent="0.2">
      <c r="B39" s="86"/>
    </row>
  </sheetData>
  <mergeCells count="3">
    <mergeCell ref="B23:M23"/>
    <mergeCell ref="B24:M24"/>
    <mergeCell ref="B34:H34"/>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37"/>
  <sheetViews>
    <sheetView showGridLines="0" zoomScaleNormal="100" workbookViewId="0">
      <selection activeCell="G3" sqref="G3:G17"/>
    </sheetView>
  </sheetViews>
  <sheetFormatPr defaultColWidth="9.140625" defaultRowHeight="12.75" x14ac:dyDescent="0.2"/>
  <cols>
    <col min="1" max="1" width="3.42578125" style="85" customWidth="1"/>
    <col min="2" max="2" width="20.5703125" style="85" customWidth="1"/>
    <col min="3" max="5" width="9.140625" style="85"/>
    <col min="6" max="6" width="12.5703125" style="85" customWidth="1"/>
    <col min="7" max="7" width="11.5703125" style="85" customWidth="1"/>
    <col min="8" max="8" width="9.85546875" style="85" bestFit="1" customWidth="1"/>
    <col min="9" max="9" width="14.140625" style="85" customWidth="1"/>
    <col min="10" max="10" width="18.28515625" style="85" customWidth="1"/>
    <col min="11" max="12" width="9.140625" style="85"/>
    <col min="13" max="13" width="8.140625" style="85" customWidth="1"/>
    <col min="14" max="15" width="9.140625" style="85"/>
    <col min="16" max="16" width="6.42578125" style="85" customWidth="1"/>
    <col min="17" max="16384" width="9.140625" style="85"/>
  </cols>
  <sheetData>
    <row r="2" spans="2:18" ht="15.75" x14ac:dyDescent="0.25">
      <c r="B2" s="93" t="s">
        <v>309</v>
      </c>
    </row>
    <row r="3" spans="2:18" x14ac:dyDescent="0.2">
      <c r="B3" s="85" t="s">
        <v>4</v>
      </c>
      <c r="G3" s="98" t="s">
        <v>310</v>
      </c>
      <c r="H3" s="98" t="s">
        <v>272</v>
      </c>
      <c r="I3" s="98"/>
      <c r="P3" s="94"/>
      <c r="R3" s="94"/>
    </row>
    <row r="4" spans="2:18" x14ac:dyDescent="0.2">
      <c r="N4" s="86"/>
    </row>
    <row r="5" spans="2:18" x14ac:dyDescent="0.2">
      <c r="B5" s="96" t="s">
        <v>143</v>
      </c>
      <c r="G5" s="37">
        <f>G7-G6</f>
        <v>11584</v>
      </c>
      <c r="H5" s="37">
        <f>H7-H6</f>
        <v>10602</v>
      </c>
      <c r="I5" s="95"/>
      <c r="N5" s="86"/>
    </row>
    <row r="6" spans="2:18" x14ac:dyDescent="0.2">
      <c r="B6" s="94" t="s">
        <v>209</v>
      </c>
      <c r="G6" s="38">
        <f>-39</f>
        <v>-39</v>
      </c>
      <c r="H6" s="38">
        <v>93</v>
      </c>
      <c r="I6" s="97"/>
      <c r="N6" s="86"/>
    </row>
    <row r="7" spans="2:18" x14ac:dyDescent="0.2">
      <c r="B7" s="96" t="s">
        <v>145</v>
      </c>
      <c r="G7" s="79">
        <v>11545</v>
      </c>
      <c r="H7" s="79">
        <v>10695</v>
      </c>
      <c r="I7" s="95"/>
    </row>
    <row r="8" spans="2:18" x14ac:dyDescent="0.2">
      <c r="B8" s="85" t="s">
        <v>22</v>
      </c>
      <c r="G8" s="79">
        <v>-287</v>
      </c>
      <c r="H8" s="79">
        <v>-159</v>
      </c>
      <c r="I8" s="95"/>
    </row>
    <row r="9" spans="2:18" x14ac:dyDescent="0.2">
      <c r="B9" s="96" t="s">
        <v>2</v>
      </c>
      <c r="G9" s="37">
        <f>G7+G8</f>
        <v>11258</v>
      </c>
      <c r="H9" s="37">
        <v>10757</v>
      </c>
      <c r="I9" s="95"/>
    </row>
    <row r="10" spans="2:18" x14ac:dyDescent="0.2">
      <c r="B10" s="85" t="s">
        <v>15</v>
      </c>
      <c r="G10" s="79">
        <v>-4840</v>
      </c>
      <c r="H10" s="79">
        <v>-4336</v>
      </c>
      <c r="I10" s="95"/>
      <c r="N10" s="86"/>
      <c r="P10" s="94"/>
    </row>
    <row r="11" spans="2:18" x14ac:dyDescent="0.2">
      <c r="B11" s="94" t="s">
        <v>281</v>
      </c>
      <c r="G11" s="79">
        <v>-223</v>
      </c>
      <c r="H11" s="79">
        <v>-7</v>
      </c>
      <c r="I11" s="95"/>
      <c r="N11" s="86"/>
    </row>
    <row r="12" spans="2:18" x14ac:dyDescent="0.2">
      <c r="B12" s="96" t="s">
        <v>3</v>
      </c>
      <c r="G12" s="37">
        <f>G9+G10+G11</f>
        <v>6195</v>
      </c>
      <c r="H12" s="37">
        <f>H9+H10+H11</f>
        <v>6414</v>
      </c>
      <c r="I12" s="95"/>
    </row>
    <row r="13" spans="2:18" x14ac:dyDescent="0.2">
      <c r="B13" s="85" t="s">
        <v>26</v>
      </c>
      <c r="G13" s="37">
        <f>G8</f>
        <v>-287</v>
      </c>
      <c r="H13" s="37">
        <f>H8</f>
        <v>-159</v>
      </c>
      <c r="I13" s="95"/>
    </row>
    <row r="14" spans="2:18" x14ac:dyDescent="0.2">
      <c r="B14" s="96" t="s">
        <v>20</v>
      </c>
      <c r="G14" s="37">
        <f>G11</f>
        <v>-223</v>
      </c>
      <c r="H14" s="37">
        <f>H11</f>
        <v>-7</v>
      </c>
      <c r="I14" s="95"/>
      <c r="N14" s="86"/>
    </row>
    <row r="15" spans="2:18" x14ac:dyDescent="0.2">
      <c r="B15" s="96" t="s">
        <v>21</v>
      </c>
      <c r="G15" s="37">
        <f>G12-G13-G14</f>
        <v>6705</v>
      </c>
      <c r="H15" s="37">
        <f>H12-H13-H14</f>
        <v>6580</v>
      </c>
      <c r="I15" s="95"/>
    </row>
    <row r="16" spans="2:18" x14ac:dyDescent="0.2">
      <c r="B16" s="94" t="s">
        <v>210</v>
      </c>
      <c r="G16" s="37">
        <f>G6</f>
        <v>-39</v>
      </c>
      <c r="H16" s="37">
        <f>H6</f>
        <v>93</v>
      </c>
      <c r="I16" s="95"/>
    </row>
    <row r="17" spans="1:18" x14ac:dyDescent="0.2">
      <c r="B17" s="96" t="s">
        <v>144</v>
      </c>
      <c r="G17" s="37">
        <f>G15-G16</f>
        <v>6744</v>
      </c>
      <c r="H17" s="37">
        <f>H15-H16</f>
        <v>6487</v>
      </c>
      <c r="I17" s="95"/>
    </row>
    <row r="19" spans="1:18" x14ac:dyDescent="0.2">
      <c r="B19" s="92" t="s">
        <v>279</v>
      </c>
      <c r="C19" s="86"/>
      <c r="D19" s="86"/>
      <c r="E19" s="86"/>
      <c r="F19" s="86"/>
      <c r="G19" s="86"/>
      <c r="H19" s="86"/>
      <c r="I19" s="86"/>
      <c r="J19" s="86"/>
      <c r="K19" s="86"/>
      <c r="L19" s="86"/>
      <c r="M19" s="86"/>
    </row>
    <row r="20" spans="1:18" x14ac:dyDescent="0.2">
      <c r="B20" s="105"/>
      <c r="C20" s="86"/>
      <c r="D20" s="86"/>
      <c r="E20" s="86"/>
      <c r="F20" s="86"/>
      <c r="G20" s="86"/>
      <c r="H20" s="86"/>
      <c r="I20" s="86"/>
      <c r="J20" s="86"/>
      <c r="K20" s="86"/>
      <c r="L20" s="86"/>
      <c r="M20" s="86"/>
    </row>
    <row r="21" spans="1:18" ht="15.75" x14ac:dyDescent="0.25">
      <c r="B21" s="93" t="s">
        <v>129</v>
      </c>
      <c r="C21" s="86"/>
      <c r="D21" s="86"/>
      <c r="E21" s="86"/>
      <c r="F21" s="86"/>
      <c r="G21" s="86"/>
      <c r="H21" s="86"/>
      <c r="I21" s="86"/>
      <c r="J21" s="86"/>
      <c r="K21" s="86"/>
      <c r="L21" s="86"/>
      <c r="M21" s="86"/>
    </row>
    <row r="22" spans="1:18" ht="15.75" x14ac:dyDescent="0.25">
      <c r="B22" s="93"/>
      <c r="C22" s="86"/>
      <c r="D22" s="86"/>
      <c r="E22" s="86"/>
      <c r="F22" s="86"/>
      <c r="G22" s="86"/>
      <c r="H22" s="86"/>
      <c r="I22" s="86"/>
      <c r="J22" s="86"/>
      <c r="K22" s="86"/>
      <c r="L22" s="86"/>
      <c r="M22" s="86"/>
    </row>
    <row r="23" spans="1:18" s="94" customFormat="1" x14ac:dyDescent="0.2">
      <c r="B23" s="183" t="s">
        <v>320</v>
      </c>
      <c r="C23" s="183"/>
      <c r="D23" s="183"/>
      <c r="E23" s="183"/>
      <c r="F23" s="183"/>
      <c r="G23" s="183"/>
      <c r="H23" s="183"/>
      <c r="I23" s="183"/>
      <c r="J23" s="183"/>
      <c r="K23" s="183"/>
      <c r="L23" s="183"/>
      <c r="M23" s="183"/>
      <c r="N23" s="110"/>
      <c r="O23" s="110"/>
      <c r="P23" s="110"/>
      <c r="Q23" s="110"/>
      <c r="R23" s="110"/>
    </row>
    <row r="24" spans="1:18" x14ac:dyDescent="0.2">
      <c r="A24" s="87"/>
      <c r="B24" s="106"/>
      <c r="C24" s="106"/>
      <c r="D24" s="106"/>
      <c r="E24" s="106"/>
      <c r="F24" s="106"/>
      <c r="G24" s="106"/>
      <c r="H24" s="106"/>
      <c r="I24" s="106"/>
      <c r="J24" s="106"/>
      <c r="K24" s="106"/>
      <c r="L24" s="106"/>
      <c r="M24" s="106"/>
    </row>
    <row r="25" spans="1:18" ht="15.75" x14ac:dyDescent="0.25">
      <c r="A25" s="87"/>
      <c r="B25" s="139" t="s">
        <v>319</v>
      </c>
      <c r="C25" s="140"/>
      <c r="D25" s="140"/>
      <c r="E25" s="140"/>
      <c r="F25" s="140"/>
      <c r="G25" s="140"/>
      <c r="H25" s="141"/>
      <c r="I25" s="142"/>
      <c r="J25" s="89"/>
      <c r="K25" s="86"/>
      <c r="L25" s="86"/>
      <c r="M25" s="86"/>
    </row>
    <row r="26" spans="1:18" s="87" customFormat="1" ht="15.75" x14ac:dyDescent="0.25">
      <c r="B26" s="143"/>
      <c r="C26" s="116"/>
      <c r="D26" s="116"/>
      <c r="E26" s="116"/>
      <c r="F26" s="117"/>
      <c r="G26" s="144"/>
      <c r="H26" s="144"/>
      <c r="I26" s="145" t="s">
        <v>283</v>
      </c>
      <c r="K26" s="89"/>
      <c r="L26" s="89"/>
      <c r="M26" s="89"/>
    </row>
    <row r="27" spans="1:18" s="87" customFormat="1" x14ac:dyDescent="0.2">
      <c r="B27" s="146"/>
      <c r="C27" s="116" t="s">
        <v>73</v>
      </c>
      <c r="D27" s="116"/>
      <c r="E27" s="116"/>
      <c r="F27" s="137" t="s">
        <v>313</v>
      </c>
      <c r="G27" s="147" t="s">
        <v>316</v>
      </c>
      <c r="H27" s="147"/>
      <c r="I27" s="148" t="s">
        <v>311</v>
      </c>
      <c r="J27" s="108"/>
      <c r="K27" s="89"/>
      <c r="L27" s="89"/>
      <c r="M27" s="89"/>
    </row>
    <row r="28" spans="1:18" s="87" customFormat="1" x14ac:dyDescent="0.2">
      <c r="B28" s="146"/>
      <c r="C28" s="116" t="s">
        <v>151</v>
      </c>
      <c r="D28" s="116"/>
      <c r="E28" s="116"/>
      <c r="F28" s="138" t="s">
        <v>314</v>
      </c>
      <c r="G28" s="147" t="s">
        <v>317</v>
      </c>
      <c r="H28" s="147"/>
      <c r="I28" s="148" t="s">
        <v>312</v>
      </c>
      <c r="J28" s="108"/>
      <c r="K28" s="89"/>
      <c r="L28" s="89"/>
      <c r="M28" s="89"/>
    </row>
    <row r="29" spans="1:18" s="87" customFormat="1" x14ac:dyDescent="0.2">
      <c r="B29" s="146"/>
      <c r="C29" s="116" t="s">
        <v>152</v>
      </c>
      <c r="D29" s="116"/>
      <c r="E29" s="116"/>
      <c r="F29" s="138" t="s">
        <v>315</v>
      </c>
      <c r="G29" s="147" t="s">
        <v>318</v>
      </c>
      <c r="H29" s="147"/>
      <c r="I29" s="148" t="s">
        <v>42</v>
      </c>
      <c r="J29" s="108"/>
      <c r="K29" s="89"/>
      <c r="L29" s="89"/>
      <c r="M29" s="89"/>
    </row>
    <row r="30" spans="1:18" s="87" customFormat="1" ht="18.75" customHeight="1" x14ac:dyDescent="0.2">
      <c r="B30" s="149" t="s">
        <v>301</v>
      </c>
      <c r="C30" s="119"/>
      <c r="D30" s="119"/>
      <c r="E30" s="119"/>
      <c r="F30" s="119"/>
      <c r="G30" s="119"/>
      <c r="H30" s="124"/>
      <c r="I30" s="134"/>
      <c r="J30" s="107"/>
      <c r="K30" s="89"/>
      <c r="L30" s="89"/>
      <c r="M30" s="89"/>
    </row>
    <row r="31" spans="1:18" s="87" customFormat="1" x14ac:dyDescent="0.2">
      <c r="B31" s="150"/>
      <c r="C31" s="119"/>
      <c r="D31" s="119"/>
      <c r="E31" s="119"/>
      <c r="F31" s="119"/>
      <c r="G31" s="119"/>
      <c r="H31" s="124"/>
      <c r="I31" s="134"/>
      <c r="J31" s="107"/>
      <c r="K31" s="89"/>
      <c r="L31" s="89"/>
      <c r="M31" s="89"/>
    </row>
    <row r="32" spans="1:18" s="87" customFormat="1" x14ac:dyDescent="0.2">
      <c r="B32" s="151" t="s">
        <v>307</v>
      </c>
      <c r="C32" s="119"/>
      <c r="D32" s="119"/>
      <c r="E32" s="119"/>
      <c r="F32" s="119"/>
      <c r="G32" s="119"/>
      <c r="H32" s="119"/>
      <c r="I32" s="134"/>
      <c r="J32" s="89"/>
      <c r="K32" s="89"/>
      <c r="L32" s="89"/>
      <c r="M32" s="89"/>
    </row>
    <row r="33" spans="1:13" s="87" customFormat="1" x14ac:dyDescent="0.2">
      <c r="B33" s="152"/>
      <c r="C33" s="153"/>
      <c r="D33" s="153"/>
      <c r="E33" s="153"/>
      <c r="F33" s="153"/>
      <c r="G33" s="153"/>
      <c r="H33" s="153"/>
      <c r="I33" s="154"/>
      <c r="J33" s="89"/>
      <c r="K33" s="89"/>
      <c r="L33" s="89"/>
      <c r="M33" s="89"/>
    </row>
    <row r="34" spans="1:13" x14ac:dyDescent="0.2">
      <c r="A34" s="87"/>
      <c r="B34" s="89"/>
      <c r="C34" s="89"/>
      <c r="D34" s="89"/>
      <c r="E34" s="89"/>
      <c r="F34" s="89"/>
      <c r="G34" s="89"/>
      <c r="H34" s="89"/>
      <c r="I34" s="89"/>
      <c r="J34" s="89"/>
      <c r="K34" s="86"/>
      <c r="L34" s="86"/>
      <c r="M34" s="86"/>
    </row>
    <row r="35" spans="1:13" x14ac:dyDescent="0.2">
      <c r="B35" s="86"/>
      <c r="C35" s="86"/>
      <c r="D35" s="86"/>
      <c r="E35" s="86"/>
      <c r="F35" s="89"/>
      <c r="G35" s="89"/>
      <c r="H35" s="89"/>
      <c r="I35" s="89"/>
      <c r="J35" s="89"/>
      <c r="K35" s="86"/>
      <c r="L35" s="86"/>
      <c r="M35" s="86"/>
    </row>
    <row r="36" spans="1:13" x14ac:dyDescent="0.2">
      <c r="B36" s="86"/>
      <c r="C36" s="86"/>
      <c r="D36" s="86"/>
      <c r="E36" s="86"/>
      <c r="F36" s="86"/>
      <c r="G36" s="86"/>
      <c r="H36" s="86"/>
      <c r="I36" s="86"/>
      <c r="J36" s="86"/>
      <c r="K36" s="86"/>
      <c r="L36" s="86"/>
      <c r="M36" s="86"/>
    </row>
    <row r="37" spans="1:13" x14ac:dyDescent="0.2">
      <c r="B37" s="86"/>
    </row>
  </sheetData>
  <mergeCells count="1">
    <mergeCell ref="B23:M23"/>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38"/>
  <sheetViews>
    <sheetView showGridLines="0" zoomScale="90" zoomScaleNormal="90" workbookViewId="0">
      <selection activeCell="H30" sqref="H30"/>
    </sheetView>
  </sheetViews>
  <sheetFormatPr defaultColWidth="9.140625" defaultRowHeight="12.75" x14ac:dyDescent="0.2"/>
  <cols>
    <col min="1" max="1" width="3.42578125" style="85" customWidth="1"/>
    <col min="2" max="2" width="20.5703125" style="85" customWidth="1"/>
    <col min="3" max="5" width="9.140625" style="85"/>
    <col min="6" max="6" width="8.42578125" style="85" customWidth="1"/>
    <col min="7" max="7" width="9.140625" style="85"/>
    <col min="8" max="8" width="9.85546875" style="85" bestFit="1" customWidth="1"/>
    <col min="9" max="9" width="14.140625" style="85" customWidth="1"/>
    <col min="10" max="10" width="18.28515625" style="85" customWidth="1"/>
    <col min="11" max="12" width="9.140625" style="85"/>
    <col min="13" max="13" width="8.140625" style="85" customWidth="1"/>
    <col min="14" max="15" width="9.140625" style="85"/>
    <col min="16" max="16" width="6.42578125" style="85" customWidth="1"/>
    <col min="17" max="16384" width="9.140625" style="85"/>
  </cols>
  <sheetData>
    <row r="2" spans="2:18" ht="15.75" x14ac:dyDescent="0.25">
      <c r="B2" s="93" t="s">
        <v>308</v>
      </c>
    </row>
    <row r="3" spans="2:18" x14ac:dyDescent="0.2">
      <c r="B3" s="85" t="s">
        <v>4</v>
      </c>
      <c r="G3" s="98" t="s">
        <v>302</v>
      </c>
      <c r="H3" s="98" t="s">
        <v>260</v>
      </c>
      <c r="I3" s="98"/>
      <c r="P3" s="94"/>
      <c r="R3" s="94"/>
    </row>
    <row r="4" spans="2:18" x14ac:dyDescent="0.2">
      <c r="N4" s="86"/>
    </row>
    <row r="5" spans="2:18" x14ac:dyDescent="0.2">
      <c r="B5" s="96" t="s">
        <v>143</v>
      </c>
      <c r="G5" s="37">
        <f>G7-G6</f>
        <v>11432</v>
      </c>
      <c r="H5" s="37">
        <f>H7-H6</f>
        <v>10640</v>
      </c>
      <c r="I5" s="95"/>
    </row>
    <row r="6" spans="2:18" x14ac:dyDescent="0.2">
      <c r="B6" s="94" t="s">
        <v>209</v>
      </c>
      <c r="G6" s="38">
        <f>211+46-30+26</f>
        <v>253</v>
      </c>
      <c r="H6" s="38">
        <v>155</v>
      </c>
      <c r="I6" s="97"/>
    </row>
    <row r="7" spans="2:18" x14ac:dyDescent="0.2">
      <c r="B7" s="96" t="s">
        <v>145</v>
      </c>
      <c r="G7" s="79">
        <v>11685</v>
      </c>
      <c r="H7" s="79">
        <v>10795</v>
      </c>
      <c r="I7" s="95"/>
    </row>
    <row r="8" spans="2:18" x14ac:dyDescent="0.2">
      <c r="B8" s="85" t="s">
        <v>22</v>
      </c>
      <c r="G8" s="79">
        <v>-691</v>
      </c>
      <c r="H8" s="79">
        <f>-128+90</f>
        <v>-38</v>
      </c>
      <c r="I8" s="95"/>
    </row>
    <row r="9" spans="2:18" x14ac:dyDescent="0.2">
      <c r="B9" s="96" t="s">
        <v>2</v>
      </c>
      <c r="G9" s="37">
        <f>G7+G8</f>
        <v>10994</v>
      </c>
      <c r="H9" s="37">
        <v>10757</v>
      </c>
      <c r="I9" s="95"/>
    </row>
    <row r="10" spans="2:18" x14ac:dyDescent="0.2">
      <c r="B10" s="85" t="s">
        <v>15</v>
      </c>
      <c r="G10" s="79">
        <v>-5044</v>
      </c>
      <c r="H10" s="79">
        <v>-4180</v>
      </c>
      <c r="I10" s="95"/>
      <c r="N10" s="86"/>
      <c r="P10" s="94"/>
    </row>
    <row r="11" spans="2:18" x14ac:dyDescent="0.2">
      <c r="B11" s="94" t="s">
        <v>281</v>
      </c>
      <c r="G11" s="79">
        <v>-2430</v>
      </c>
      <c r="H11" s="79">
        <v>-13</v>
      </c>
      <c r="I11" s="95"/>
      <c r="N11" s="86"/>
    </row>
    <row r="12" spans="2:18" x14ac:dyDescent="0.2">
      <c r="B12" s="96" t="s">
        <v>3</v>
      </c>
      <c r="G12" s="37">
        <f>G9+G10+G11</f>
        <v>3520</v>
      </c>
      <c r="H12" s="37">
        <f>H9+H10+H11</f>
        <v>6564</v>
      </c>
      <c r="I12" s="95"/>
    </row>
    <row r="13" spans="2:18" x14ac:dyDescent="0.2">
      <c r="B13" s="85" t="s">
        <v>26</v>
      </c>
      <c r="G13" s="37">
        <f>G8</f>
        <v>-691</v>
      </c>
      <c r="H13" s="37">
        <f>H8</f>
        <v>-38</v>
      </c>
      <c r="I13" s="95"/>
    </row>
    <row r="14" spans="2:18" x14ac:dyDescent="0.2">
      <c r="B14" s="96" t="s">
        <v>20</v>
      </c>
      <c r="G14" s="37">
        <f>G11</f>
        <v>-2430</v>
      </c>
      <c r="H14" s="37">
        <f>H11</f>
        <v>-13</v>
      </c>
      <c r="I14" s="95"/>
      <c r="N14" s="86"/>
    </row>
    <row r="15" spans="2:18" x14ac:dyDescent="0.2">
      <c r="B15" s="96" t="s">
        <v>21</v>
      </c>
      <c r="G15" s="37">
        <f>G12-G13-G14</f>
        <v>6641</v>
      </c>
      <c r="H15" s="37">
        <f>H12-H13-H14</f>
        <v>6615</v>
      </c>
      <c r="I15" s="95"/>
    </row>
    <row r="16" spans="2:18" x14ac:dyDescent="0.2">
      <c r="B16" s="94" t="s">
        <v>210</v>
      </c>
      <c r="G16" s="37">
        <f>G6</f>
        <v>253</v>
      </c>
      <c r="H16" s="37">
        <f>H6</f>
        <v>155</v>
      </c>
      <c r="I16" s="95"/>
    </row>
    <row r="17" spans="1:18" x14ac:dyDescent="0.2">
      <c r="B17" s="96" t="s">
        <v>144</v>
      </c>
      <c r="G17" s="37">
        <f>G15-G16</f>
        <v>6388</v>
      </c>
      <c r="H17" s="37">
        <f>H15-H16</f>
        <v>6460</v>
      </c>
      <c r="I17" s="95"/>
    </row>
    <row r="19" spans="1:18" s="94" customFormat="1" x14ac:dyDescent="0.2">
      <c r="B19" s="92" t="s">
        <v>304</v>
      </c>
      <c r="C19" s="86"/>
      <c r="D19" s="86"/>
      <c r="E19" s="86"/>
      <c r="F19" s="86"/>
      <c r="G19" s="86"/>
      <c r="H19" s="86"/>
      <c r="I19" s="86"/>
      <c r="J19" s="86"/>
      <c r="K19" s="86"/>
      <c r="L19" s="86"/>
      <c r="M19" s="86"/>
    </row>
    <row r="20" spans="1:18" ht="21.75" customHeight="1" x14ac:dyDescent="0.2">
      <c r="B20" s="92" t="s">
        <v>279</v>
      </c>
      <c r="C20" s="86"/>
      <c r="D20" s="86"/>
      <c r="E20" s="86"/>
      <c r="F20" s="86"/>
      <c r="G20" s="86"/>
      <c r="H20" s="86"/>
      <c r="I20" s="86"/>
      <c r="J20" s="86"/>
      <c r="K20" s="86"/>
      <c r="L20" s="86"/>
      <c r="M20" s="86"/>
    </row>
    <row r="21" spans="1:18" x14ac:dyDescent="0.2">
      <c r="B21" s="105"/>
      <c r="C21" s="86"/>
      <c r="D21" s="86"/>
      <c r="E21" s="86"/>
      <c r="F21" s="86"/>
      <c r="G21" s="86"/>
      <c r="H21" s="86"/>
      <c r="I21" s="86"/>
      <c r="J21" s="86"/>
      <c r="K21" s="86"/>
      <c r="L21" s="86"/>
      <c r="M21" s="86"/>
    </row>
    <row r="22" spans="1:18" ht="15.75" x14ac:dyDescent="0.25">
      <c r="B22" s="93" t="s">
        <v>129</v>
      </c>
      <c r="C22" s="86"/>
      <c r="D22" s="86"/>
      <c r="E22" s="86"/>
      <c r="F22" s="86"/>
      <c r="G22" s="86"/>
      <c r="H22" s="86"/>
      <c r="I22" s="86"/>
      <c r="J22" s="86"/>
      <c r="K22" s="86"/>
      <c r="L22" s="86"/>
      <c r="M22" s="86"/>
    </row>
    <row r="23" spans="1:18" ht="32.25" customHeight="1" x14ac:dyDescent="0.2">
      <c r="B23" s="110" t="s">
        <v>305</v>
      </c>
      <c r="C23" s="109"/>
      <c r="D23" s="109"/>
      <c r="E23" s="109"/>
      <c r="F23" s="109"/>
      <c r="G23" s="109"/>
      <c r="H23" s="109"/>
      <c r="I23" s="109"/>
      <c r="J23" s="109"/>
      <c r="K23" s="109"/>
      <c r="L23" s="109"/>
      <c r="M23" s="109"/>
      <c r="N23" s="109"/>
      <c r="O23" s="109"/>
      <c r="P23" s="109"/>
      <c r="Q23" s="109"/>
      <c r="R23" s="109"/>
    </row>
    <row r="24" spans="1:18" ht="34.5" customHeight="1" x14ac:dyDescent="0.2">
      <c r="B24" s="183" t="s">
        <v>306</v>
      </c>
      <c r="C24" s="183"/>
      <c r="D24" s="183"/>
      <c r="E24" s="183"/>
      <c r="F24" s="183"/>
      <c r="G24" s="183"/>
      <c r="H24" s="183"/>
      <c r="I24" s="183"/>
      <c r="J24" s="183"/>
      <c r="K24" s="183"/>
      <c r="L24" s="183"/>
      <c r="M24" s="183"/>
      <c r="N24" s="109"/>
      <c r="O24" s="109"/>
      <c r="P24" s="109"/>
      <c r="Q24" s="109"/>
      <c r="R24" s="109"/>
    </row>
    <row r="25" spans="1:18" ht="13.5" thickBot="1" x14ac:dyDescent="0.25">
      <c r="A25" s="87"/>
      <c r="B25" s="106"/>
      <c r="C25" s="106"/>
      <c r="D25" s="106"/>
      <c r="E25" s="106"/>
      <c r="F25" s="106"/>
      <c r="G25" s="106"/>
      <c r="H25" s="106"/>
      <c r="I25" s="106"/>
      <c r="J25" s="106"/>
      <c r="K25" s="106"/>
      <c r="L25" s="106"/>
      <c r="M25" s="106"/>
    </row>
    <row r="26" spans="1:18" ht="15.75" x14ac:dyDescent="0.25">
      <c r="A26" s="87"/>
      <c r="B26" s="111" t="s">
        <v>303</v>
      </c>
      <c r="C26" s="112"/>
      <c r="D26" s="112"/>
      <c r="E26" s="112"/>
      <c r="F26" s="112"/>
      <c r="G26" s="112"/>
      <c r="H26" s="113"/>
      <c r="I26" s="131"/>
      <c r="J26" s="89"/>
      <c r="K26" s="86"/>
      <c r="L26" s="86"/>
      <c r="M26" s="86"/>
    </row>
    <row r="27" spans="1:18" s="87" customFormat="1" ht="15.75" x14ac:dyDescent="0.25">
      <c r="B27" s="115"/>
      <c r="C27" s="116"/>
      <c r="D27" s="116"/>
      <c r="E27" s="116"/>
      <c r="F27" s="117">
        <v>2016</v>
      </c>
      <c r="H27" s="118" t="s">
        <v>283</v>
      </c>
      <c r="I27" s="132">
        <v>2015</v>
      </c>
      <c r="K27" s="89"/>
      <c r="L27" s="89"/>
      <c r="M27" s="89"/>
    </row>
    <row r="28" spans="1:18" s="87" customFormat="1" x14ac:dyDescent="0.2">
      <c r="B28" s="121"/>
      <c r="C28" s="116" t="s">
        <v>73</v>
      </c>
      <c r="D28" s="116"/>
      <c r="E28" s="116"/>
      <c r="F28" s="122" t="s">
        <v>291</v>
      </c>
      <c r="H28" s="136">
        <v>1.4999999999999999E-2</v>
      </c>
      <c r="I28" s="133" t="s">
        <v>297</v>
      </c>
      <c r="J28" s="108"/>
      <c r="K28" s="89"/>
      <c r="L28" s="89"/>
      <c r="M28" s="89"/>
    </row>
    <row r="29" spans="1:18" s="87" customFormat="1" x14ac:dyDescent="0.2">
      <c r="B29" s="121"/>
      <c r="C29" s="116" t="s">
        <v>151</v>
      </c>
      <c r="D29" s="116"/>
      <c r="E29" s="116"/>
      <c r="F29" s="116" t="s">
        <v>292</v>
      </c>
      <c r="H29" s="136">
        <v>0.35399999999999998</v>
      </c>
      <c r="I29" s="133" t="s">
        <v>296</v>
      </c>
      <c r="J29" s="108"/>
      <c r="K29" s="89"/>
      <c r="L29" s="89"/>
      <c r="M29" s="89"/>
    </row>
    <row r="30" spans="1:18" s="87" customFormat="1" x14ac:dyDescent="0.2">
      <c r="B30" s="121"/>
      <c r="C30" s="116" t="s">
        <v>152</v>
      </c>
      <c r="D30" s="116"/>
      <c r="E30" s="116"/>
      <c r="F30" s="116" t="s">
        <v>273</v>
      </c>
      <c r="H30" s="136">
        <v>0.16800000000000001</v>
      </c>
      <c r="I30" s="133" t="s">
        <v>298</v>
      </c>
      <c r="J30" s="108"/>
      <c r="K30" s="89"/>
      <c r="L30" s="89"/>
      <c r="M30" s="89"/>
    </row>
    <row r="31" spans="1:18" s="87" customFormat="1" ht="18.75" customHeight="1" x14ac:dyDescent="0.2">
      <c r="B31" s="130" t="s">
        <v>301</v>
      </c>
      <c r="C31" s="119"/>
      <c r="D31" s="119"/>
      <c r="E31" s="119"/>
      <c r="F31" s="119"/>
      <c r="G31" s="119"/>
      <c r="H31" s="124"/>
      <c r="I31" s="134"/>
      <c r="J31" s="107"/>
      <c r="K31" s="89"/>
      <c r="L31" s="89"/>
      <c r="M31" s="89"/>
    </row>
    <row r="32" spans="1:18" s="87" customFormat="1" x14ac:dyDescent="0.2">
      <c r="B32" s="125"/>
      <c r="C32" s="119"/>
      <c r="D32" s="119"/>
      <c r="E32" s="119"/>
      <c r="F32" s="119"/>
      <c r="G32" s="119"/>
      <c r="H32" s="124"/>
      <c r="I32" s="134"/>
      <c r="J32" s="107"/>
      <c r="K32" s="89"/>
      <c r="L32" s="89"/>
      <c r="M32" s="89"/>
    </row>
    <row r="33" spans="1:13" s="87" customFormat="1" x14ac:dyDescent="0.2">
      <c r="B33" s="126" t="s">
        <v>307</v>
      </c>
      <c r="C33" s="119"/>
      <c r="D33" s="119"/>
      <c r="E33" s="119"/>
      <c r="F33" s="119"/>
      <c r="G33" s="119"/>
      <c r="H33" s="119"/>
      <c r="I33" s="134"/>
      <c r="J33" s="89"/>
      <c r="K33" s="89"/>
      <c r="L33" s="89"/>
      <c r="M33" s="89"/>
    </row>
    <row r="34" spans="1:13" s="87" customFormat="1" ht="13.5" thickBot="1" x14ac:dyDescent="0.25">
      <c r="B34" s="127"/>
      <c r="C34" s="128"/>
      <c r="D34" s="128"/>
      <c r="E34" s="128"/>
      <c r="F34" s="128"/>
      <c r="G34" s="128"/>
      <c r="H34" s="128"/>
      <c r="I34" s="135"/>
      <c r="J34" s="89"/>
      <c r="K34" s="89"/>
      <c r="L34" s="89"/>
      <c r="M34" s="89"/>
    </row>
    <row r="35" spans="1:13" x14ac:dyDescent="0.2">
      <c r="A35" s="87"/>
      <c r="B35" s="89"/>
      <c r="C35" s="89"/>
      <c r="D35" s="89"/>
      <c r="E35" s="89"/>
      <c r="F35" s="89"/>
      <c r="G35" s="89"/>
      <c r="H35" s="89"/>
      <c r="I35" s="89"/>
      <c r="J35" s="89"/>
      <c r="K35" s="86"/>
      <c r="L35" s="86"/>
      <c r="M35" s="86"/>
    </row>
    <row r="36" spans="1:13" x14ac:dyDescent="0.2">
      <c r="B36" s="86"/>
      <c r="C36" s="86"/>
      <c r="D36" s="86"/>
      <c r="E36" s="86"/>
      <c r="F36" s="89"/>
      <c r="G36" s="89"/>
      <c r="H36" s="89"/>
      <c r="I36" s="89"/>
      <c r="J36" s="89"/>
      <c r="K36" s="86"/>
      <c r="L36" s="86"/>
      <c r="M36" s="86"/>
    </row>
    <row r="37" spans="1:13" x14ac:dyDescent="0.2">
      <c r="B37" s="86"/>
      <c r="C37" s="86"/>
      <c r="D37" s="86"/>
      <c r="E37" s="86"/>
      <c r="F37" s="86"/>
      <c r="G37" s="86"/>
      <c r="H37" s="86"/>
      <c r="I37" s="86"/>
      <c r="J37" s="86"/>
      <c r="K37" s="86"/>
      <c r="L37" s="86"/>
      <c r="M37" s="86"/>
    </row>
    <row r="38" spans="1:13" x14ac:dyDescent="0.2">
      <c r="B38" s="86"/>
    </row>
  </sheetData>
  <mergeCells count="1">
    <mergeCell ref="B24:M24"/>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40"/>
  <sheetViews>
    <sheetView showGridLines="0" zoomScale="90" zoomScaleNormal="90" workbookViewId="0">
      <selection activeCell="H30" sqref="H30"/>
    </sheetView>
  </sheetViews>
  <sheetFormatPr defaultColWidth="9.140625" defaultRowHeight="12.75" x14ac:dyDescent="0.2"/>
  <cols>
    <col min="1" max="1" width="3.42578125" style="85" customWidth="1"/>
    <col min="2" max="2" width="20.5703125" style="85" customWidth="1"/>
    <col min="3" max="5" width="9.140625" style="85"/>
    <col min="6" max="6" width="8.42578125" style="85" customWidth="1"/>
    <col min="7" max="7" width="9.140625" style="85"/>
    <col min="8" max="8" width="9.85546875" style="85" bestFit="1" customWidth="1"/>
    <col min="9" max="9" width="14.140625" style="85" customWidth="1"/>
    <col min="10" max="10" width="18.28515625" style="85" customWidth="1"/>
    <col min="11" max="12" width="9.140625" style="85"/>
    <col min="13" max="13" width="8.140625" style="85" customWidth="1"/>
    <col min="14" max="15" width="9.140625" style="85"/>
    <col min="16" max="16" width="6.42578125" style="85" customWidth="1"/>
    <col min="17" max="16384" width="9.140625" style="85"/>
  </cols>
  <sheetData>
    <row r="2" spans="2:18" ht="15.75" x14ac:dyDescent="0.25">
      <c r="B2" s="93" t="s">
        <v>287</v>
      </c>
    </row>
    <row r="3" spans="2:18" x14ac:dyDescent="0.2">
      <c r="B3" s="85" t="s">
        <v>4</v>
      </c>
      <c r="G3" s="98" t="s">
        <v>288</v>
      </c>
      <c r="H3" s="98" t="s">
        <v>248</v>
      </c>
      <c r="I3" s="98"/>
      <c r="P3" s="94"/>
      <c r="R3" s="94"/>
    </row>
    <row r="4" spans="2:18" x14ac:dyDescent="0.2">
      <c r="N4" s="86"/>
    </row>
    <row r="5" spans="2:18" x14ac:dyDescent="0.2">
      <c r="B5" s="96" t="s">
        <v>143</v>
      </c>
      <c r="G5" s="37">
        <f>G7-G6</f>
        <v>10579.770231455201</v>
      </c>
      <c r="H5" s="37">
        <f>H7-H6</f>
        <v>9310.4366551216499</v>
      </c>
      <c r="I5" s="95"/>
    </row>
    <row r="6" spans="2:18" x14ac:dyDescent="0.2">
      <c r="B6" s="94" t="s">
        <v>209</v>
      </c>
      <c r="G6" s="38">
        <f>133+92+55</f>
        <v>280</v>
      </c>
      <c r="H6" s="38">
        <v>8</v>
      </c>
      <c r="I6" s="97"/>
    </row>
    <row r="7" spans="2:18" x14ac:dyDescent="0.2">
      <c r="B7" s="96" t="s">
        <v>145</v>
      </c>
      <c r="G7" s="79">
        <v>10859.770231455201</v>
      </c>
      <c r="H7" s="79">
        <v>9318.4366551216499</v>
      </c>
      <c r="I7" s="95"/>
    </row>
    <row r="8" spans="2:18" x14ac:dyDescent="0.2">
      <c r="B8" s="85" t="s">
        <v>22</v>
      </c>
      <c r="G8" s="79">
        <v>-257.22662510100298</v>
      </c>
      <c r="H8" s="79">
        <v>-295.16922969330102</v>
      </c>
      <c r="I8" s="95"/>
    </row>
    <row r="9" spans="2:18" x14ac:dyDescent="0.2">
      <c r="B9" s="96" t="s">
        <v>2</v>
      </c>
      <c r="G9" s="37">
        <f>G7+G8</f>
        <v>10602.543606354198</v>
      </c>
      <c r="H9" s="37">
        <f>H7+H8</f>
        <v>9023.2674254283484</v>
      </c>
      <c r="I9" s="95"/>
    </row>
    <row r="10" spans="2:18" x14ac:dyDescent="0.2">
      <c r="B10" s="85" t="s">
        <v>15</v>
      </c>
      <c r="G10" s="79">
        <v>-5082.8970510263989</v>
      </c>
      <c r="H10" s="79">
        <v>-4203.5445721538999</v>
      </c>
      <c r="I10" s="95"/>
      <c r="N10" s="86"/>
      <c r="P10" s="94"/>
    </row>
    <row r="11" spans="2:18" x14ac:dyDescent="0.2">
      <c r="B11" s="94" t="s">
        <v>281</v>
      </c>
      <c r="G11" s="79">
        <v>-2102.643687529097</v>
      </c>
      <c r="H11" s="79">
        <v>-8.7366112411431018</v>
      </c>
      <c r="I11" s="95"/>
      <c r="N11" s="86"/>
    </row>
    <row r="12" spans="2:18" x14ac:dyDescent="0.2">
      <c r="B12" s="96" t="s">
        <v>3</v>
      </c>
      <c r="G12" s="37">
        <f>G9+G10+G11</f>
        <v>3417.0028677987025</v>
      </c>
      <c r="H12" s="37">
        <f>H9+H10+H11</f>
        <v>4810.9862420333056</v>
      </c>
      <c r="I12" s="95"/>
    </row>
    <row r="13" spans="2:18" x14ac:dyDescent="0.2">
      <c r="B13" s="85" t="s">
        <v>26</v>
      </c>
      <c r="G13" s="37">
        <f>G8</f>
        <v>-257.22662510100298</v>
      </c>
      <c r="H13" s="37">
        <f>H8</f>
        <v>-295.16922969330102</v>
      </c>
      <c r="I13" s="95"/>
    </row>
    <row r="14" spans="2:18" x14ac:dyDescent="0.2">
      <c r="B14" s="96" t="s">
        <v>20</v>
      </c>
      <c r="G14" s="37">
        <f>G11</f>
        <v>-2102.643687529097</v>
      </c>
      <c r="H14" s="37">
        <f>H11</f>
        <v>-8.7366112411431018</v>
      </c>
      <c r="I14" s="95"/>
      <c r="N14" s="86"/>
    </row>
    <row r="15" spans="2:18" x14ac:dyDescent="0.2">
      <c r="B15" s="96" t="s">
        <v>21</v>
      </c>
      <c r="G15" s="37">
        <f>G12-G13-G14</f>
        <v>5776.8731804288018</v>
      </c>
      <c r="H15" s="37">
        <f>H12-H13-H14</f>
        <v>5114.892082967749</v>
      </c>
      <c r="I15" s="95"/>
    </row>
    <row r="16" spans="2:18" x14ac:dyDescent="0.2">
      <c r="B16" s="94" t="s">
        <v>210</v>
      </c>
      <c r="G16" s="37">
        <f>G6</f>
        <v>280</v>
      </c>
      <c r="H16" s="37">
        <f>H6</f>
        <v>8</v>
      </c>
      <c r="I16" s="95"/>
    </row>
    <row r="17" spans="1:18" x14ac:dyDescent="0.2">
      <c r="B17" s="96" t="s">
        <v>144</v>
      </c>
      <c r="G17" s="37">
        <f>G15-G16</f>
        <v>5496.8731804288018</v>
      </c>
      <c r="H17" s="37">
        <f>H15-H16</f>
        <v>5106.892082967749</v>
      </c>
      <c r="I17" s="95"/>
    </row>
    <row r="19" spans="1:18" s="94" customFormat="1" x14ac:dyDescent="0.2">
      <c r="B19" s="94" t="s">
        <v>289</v>
      </c>
      <c r="C19" s="86"/>
      <c r="D19" s="86"/>
      <c r="E19" s="86"/>
      <c r="F19" s="86"/>
      <c r="G19" s="86"/>
      <c r="H19" s="86"/>
      <c r="I19" s="86"/>
      <c r="J19" s="86"/>
      <c r="K19" s="86"/>
      <c r="L19" s="86"/>
      <c r="M19" s="86"/>
    </row>
    <row r="20" spans="1:18" ht="21.75" customHeight="1" x14ac:dyDescent="0.2">
      <c r="B20" s="92" t="s">
        <v>279</v>
      </c>
      <c r="C20" s="86"/>
      <c r="D20" s="86"/>
      <c r="E20" s="86"/>
      <c r="F20" s="86"/>
      <c r="G20" s="86"/>
      <c r="H20" s="86"/>
      <c r="I20" s="86"/>
      <c r="J20" s="86"/>
      <c r="K20" s="86"/>
      <c r="L20" s="86"/>
      <c r="M20" s="86"/>
    </row>
    <row r="21" spans="1:18" x14ac:dyDescent="0.2">
      <c r="B21" s="105"/>
      <c r="C21" s="86"/>
      <c r="D21" s="86"/>
      <c r="E21" s="86"/>
      <c r="F21" s="86"/>
      <c r="G21" s="86"/>
      <c r="H21" s="86"/>
      <c r="I21" s="86"/>
      <c r="J21" s="86"/>
      <c r="K21" s="86"/>
      <c r="L21" s="86"/>
      <c r="M21" s="86"/>
    </row>
    <row r="22" spans="1:18" ht="15.75" x14ac:dyDescent="0.25">
      <c r="B22" s="93" t="s">
        <v>129</v>
      </c>
      <c r="C22" s="86"/>
      <c r="D22" s="86"/>
      <c r="E22" s="86"/>
      <c r="F22" s="86"/>
      <c r="G22" s="86"/>
      <c r="H22" s="86"/>
      <c r="I22" s="86"/>
      <c r="J22" s="86"/>
      <c r="K22" s="86"/>
      <c r="L22" s="86"/>
      <c r="M22" s="86"/>
    </row>
    <row r="23" spans="1:18" ht="32.25" customHeight="1" x14ac:dyDescent="0.2">
      <c r="B23" s="110" t="s">
        <v>299</v>
      </c>
      <c r="C23" s="109"/>
      <c r="D23" s="109"/>
      <c r="E23" s="109"/>
      <c r="F23" s="109"/>
      <c r="G23" s="109"/>
      <c r="H23" s="109"/>
      <c r="I23" s="109"/>
      <c r="J23" s="109"/>
      <c r="K23" s="109"/>
      <c r="L23" s="109"/>
      <c r="M23" s="109"/>
      <c r="N23" s="109"/>
      <c r="O23" s="109"/>
      <c r="P23" s="109"/>
      <c r="Q23" s="109"/>
      <c r="R23" s="109"/>
    </row>
    <row r="24" spans="1:18" ht="34.5" customHeight="1" x14ac:dyDescent="0.2">
      <c r="B24" s="183" t="s">
        <v>294</v>
      </c>
      <c r="C24" s="183"/>
      <c r="D24" s="183"/>
      <c r="E24" s="183"/>
      <c r="F24" s="183"/>
      <c r="G24" s="183"/>
      <c r="H24" s="183"/>
      <c r="I24" s="183"/>
      <c r="J24" s="183"/>
      <c r="K24" s="183"/>
      <c r="L24" s="183"/>
      <c r="M24" s="183"/>
      <c r="N24" s="109"/>
      <c r="O24" s="109"/>
      <c r="P24" s="109"/>
      <c r="Q24" s="109"/>
      <c r="R24" s="109"/>
    </row>
    <row r="25" spans="1:18" ht="14.25" customHeight="1" x14ac:dyDescent="0.25">
      <c r="B25" s="93" t="s">
        <v>300</v>
      </c>
      <c r="C25" s="104"/>
      <c r="D25" s="104"/>
      <c r="E25" s="104"/>
      <c r="F25" s="104"/>
      <c r="G25" s="104"/>
      <c r="H25" s="104"/>
      <c r="I25" s="104"/>
      <c r="J25" s="104"/>
      <c r="K25" s="104"/>
      <c r="L25" s="104"/>
      <c r="M25" s="104"/>
      <c r="N25" s="109"/>
      <c r="O25" s="109"/>
      <c r="P25" s="109"/>
      <c r="Q25" s="109"/>
      <c r="R25" s="109"/>
    </row>
    <row r="26" spans="1:18" ht="62.25" customHeight="1" x14ac:dyDescent="0.2">
      <c r="B26" s="183" t="s">
        <v>293</v>
      </c>
      <c r="C26" s="183"/>
      <c r="D26" s="183"/>
      <c r="E26" s="183"/>
      <c r="F26" s="183"/>
      <c r="G26" s="183"/>
      <c r="H26" s="183"/>
      <c r="I26" s="183"/>
      <c r="J26" s="183"/>
      <c r="K26" s="183"/>
      <c r="L26" s="183"/>
      <c r="M26" s="183"/>
    </row>
    <row r="27" spans="1:18" ht="13.5" thickBot="1" x14ac:dyDescent="0.25">
      <c r="A27" s="87"/>
      <c r="B27" s="106"/>
      <c r="C27" s="106"/>
      <c r="D27" s="106"/>
      <c r="E27" s="106"/>
      <c r="F27" s="106"/>
      <c r="G27" s="106"/>
      <c r="H27" s="106"/>
      <c r="I27" s="106"/>
      <c r="J27" s="106"/>
      <c r="K27" s="106"/>
      <c r="L27" s="106"/>
      <c r="M27" s="106"/>
    </row>
    <row r="28" spans="1:18" ht="15.75" x14ac:dyDescent="0.25">
      <c r="A28" s="87"/>
      <c r="B28" s="111" t="s">
        <v>290</v>
      </c>
      <c r="C28" s="112"/>
      <c r="D28" s="112"/>
      <c r="E28" s="112"/>
      <c r="F28" s="112"/>
      <c r="G28" s="112"/>
      <c r="H28" s="113"/>
      <c r="I28" s="114"/>
      <c r="J28" s="89"/>
      <c r="K28" s="86"/>
      <c r="L28" s="86"/>
      <c r="M28" s="86"/>
    </row>
    <row r="29" spans="1:18" s="87" customFormat="1" ht="15.75" x14ac:dyDescent="0.25">
      <c r="B29" s="115"/>
      <c r="C29" s="116"/>
      <c r="D29" s="116"/>
      <c r="E29" s="116"/>
      <c r="F29" s="117">
        <v>2016</v>
      </c>
      <c r="G29" s="118">
        <v>2015</v>
      </c>
      <c r="H29" s="119"/>
      <c r="I29" s="120"/>
      <c r="K29" s="89"/>
      <c r="L29" s="89"/>
      <c r="M29" s="89"/>
    </row>
    <row r="30" spans="1:18" s="87" customFormat="1" x14ac:dyDescent="0.2">
      <c r="B30" s="121"/>
      <c r="C30" s="116" t="s">
        <v>73</v>
      </c>
      <c r="D30" s="116"/>
      <c r="E30" s="116"/>
      <c r="F30" s="122" t="s">
        <v>291</v>
      </c>
      <c r="G30" s="123" t="s">
        <v>297</v>
      </c>
      <c r="H30" s="124"/>
      <c r="I30" s="120"/>
      <c r="J30" s="108"/>
      <c r="K30" s="89"/>
      <c r="L30" s="89"/>
      <c r="M30" s="89"/>
    </row>
    <row r="31" spans="1:18" s="87" customFormat="1" x14ac:dyDescent="0.2">
      <c r="B31" s="121"/>
      <c r="C31" s="116" t="s">
        <v>151</v>
      </c>
      <c r="D31" s="116"/>
      <c r="E31" s="116"/>
      <c r="F31" s="116" t="s">
        <v>292</v>
      </c>
      <c r="G31" s="123" t="s">
        <v>296</v>
      </c>
      <c r="H31" s="124"/>
      <c r="I31" s="120"/>
      <c r="J31" s="108"/>
      <c r="K31" s="89"/>
      <c r="L31" s="89"/>
      <c r="M31" s="89"/>
    </row>
    <row r="32" spans="1:18" s="87" customFormat="1" x14ac:dyDescent="0.2">
      <c r="B32" s="121"/>
      <c r="C32" s="116" t="s">
        <v>152</v>
      </c>
      <c r="D32" s="116"/>
      <c r="E32" s="116"/>
      <c r="F32" s="116" t="s">
        <v>273</v>
      </c>
      <c r="G32" s="123" t="s">
        <v>298</v>
      </c>
      <c r="H32" s="124"/>
      <c r="I32" s="120"/>
      <c r="J32" s="108"/>
      <c r="K32" s="89"/>
      <c r="L32" s="89"/>
      <c r="M32" s="89"/>
    </row>
    <row r="33" spans="1:13" s="87" customFormat="1" ht="18.75" customHeight="1" x14ac:dyDescent="0.2">
      <c r="B33" s="130" t="s">
        <v>301</v>
      </c>
      <c r="C33" s="119"/>
      <c r="D33" s="119"/>
      <c r="E33" s="119"/>
      <c r="F33" s="119"/>
      <c r="G33" s="119"/>
      <c r="H33" s="124"/>
      <c r="I33" s="120"/>
      <c r="J33" s="107"/>
      <c r="K33" s="89"/>
      <c r="L33" s="89"/>
      <c r="M33" s="89"/>
    </row>
    <row r="34" spans="1:13" s="87" customFormat="1" x14ac:dyDescent="0.2">
      <c r="B34" s="125"/>
      <c r="C34" s="119"/>
      <c r="D34" s="119"/>
      <c r="E34" s="119"/>
      <c r="F34" s="119"/>
      <c r="G34" s="119"/>
      <c r="H34" s="124"/>
      <c r="I34" s="120"/>
      <c r="J34" s="107"/>
      <c r="K34" s="89"/>
      <c r="L34" s="89"/>
      <c r="M34" s="89"/>
    </row>
    <row r="35" spans="1:13" s="87" customFormat="1" x14ac:dyDescent="0.2">
      <c r="B35" s="126" t="s">
        <v>295</v>
      </c>
      <c r="C35" s="119"/>
      <c r="D35" s="119"/>
      <c r="E35" s="119"/>
      <c r="F35" s="119"/>
      <c r="G35" s="119"/>
      <c r="H35" s="119"/>
      <c r="I35" s="120"/>
      <c r="J35" s="89"/>
      <c r="K35" s="89"/>
      <c r="L35" s="89"/>
      <c r="M35" s="89"/>
    </row>
    <row r="36" spans="1:13" s="87" customFormat="1" ht="13.5" thickBot="1" x14ac:dyDescent="0.25">
      <c r="B36" s="127"/>
      <c r="C36" s="128"/>
      <c r="D36" s="128"/>
      <c r="E36" s="128"/>
      <c r="F36" s="128"/>
      <c r="G36" s="128"/>
      <c r="H36" s="128"/>
      <c r="I36" s="129"/>
      <c r="J36" s="89"/>
      <c r="K36" s="89"/>
      <c r="L36" s="89"/>
      <c r="M36" s="89"/>
    </row>
    <row r="37" spans="1:13" x14ac:dyDescent="0.2">
      <c r="A37" s="87"/>
      <c r="B37" s="89"/>
      <c r="C37" s="89"/>
      <c r="D37" s="89"/>
      <c r="E37" s="89"/>
      <c r="F37" s="89"/>
      <c r="G37" s="89"/>
      <c r="H37" s="89"/>
      <c r="I37" s="89"/>
      <c r="J37" s="89"/>
      <c r="K37" s="86"/>
      <c r="L37" s="86"/>
      <c r="M37" s="86"/>
    </row>
    <row r="38" spans="1:13" x14ac:dyDescent="0.2">
      <c r="B38" s="86"/>
      <c r="C38" s="86"/>
      <c r="D38" s="86"/>
      <c r="E38" s="86"/>
      <c r="F38" s="89"/>
      <c r="G38" s="89"/>
      <c r="H38" s="89"/>
      <c r="I38" s="89"/>
      <c r="J38" s="89"/>
      <c r="K38" s="86"/>
      <c r="L38" s="86"/>
      <c r="M38" s="86"/>
    </row>
    <row r="39" spans="1:13" x14ac:dyDescent="0.2">
      <c r="B39" s="86"/>
      <c r="C39" s="86"/>
      <c r="D39" s="86"/>
      <c r="E39" s="86"/>
      <c r="F39" s="86"/>
      <c r="G39" s="86"/>
      <c r="H39" s="86"/>
      <c r="I39" s="86"/>
      <c r="J39" s="86"/>
      <c r="K39" s="86"/>
      <c r="L39" s="86"/>
      <c r="M39" s="86"/>
    </row>
    <row r="40" spans="1:13" x14ac:dyDescent="0.2">
      <c r="B40" s="86"/>
    </row>
  </sheetData>
  <mergeCells count="2">
    <mergeCell ref="B26:M26"/>
    <mergeCell ref="B24:M24"/>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38"/>
  <sheetViews>
    <sheetView showGridLines="0" zoomScaleNormal="100" workbookViewId="0">
      <selection activeCell="G6" sqref="G6"/>
    </sheetView>
  </sheetViews>
  <sheetFormatPr defaultColWidth="9.140625" defaultRowHeight="12.75" x14ac:dyDescent="0.2"/>
  <cols>
    <col min="1" max="1" width="3.42578125" style="85" customWidth="1"/>
    <col min="2" max="2" width="20.5703125" style="85" customWidth="1"/>
    <col min="3" max="5" width="9.140625" style="85"/>
    <col min="6" max="6" width="8.42578125" style="85" customWidth="1"/>
    <col min="7" max="7" width="9.140625" style="85"/>
    <col min="8" max="8" width="9.85546875" style="85" bestFit="1" customWidth="1"/>
    <col min="9" max="9" width="14.140625" style="85" customWidth="1"/>
    <col min="10" max="10" width="18.28515625" style="85" customWidth="1"/>
    <col min="11" max="12" width="9.140625" style="85"/>
    <col min="13" max="13" width="8.140625" style="85" customWidth="1"/>
    <col min="14" max="15" width="9.140625" style="85"/>
    <col min="16" max="16" width="6.42578125" style="85" customWidth="1"/>
    <col min="17" max="16384" width="9.140625" style="85"/>
  </cols>
  <sheetData>
    <row r="2" spans="2:18" ht="15.75" x14ac:dyDescent="0.25">
      <c r="B2" s="93" t="s">
        <v>278</v>
      </c>
    </row>
    <row r="3" spans="2:18" x14ac:dyDescent="0.2">
      <c r="B3" s="85" t="s">
        <v>4</v>
      </c>
      <c r="G3" s="98" t="s">
        <v>277</v>
      </c>
      <c r="H3" s="98" t="s">
        <v>240</v>
      </c>
      <c r="I3" s="98"/>
      <c r="P3" s="94"/>
      <c r="R3" s="94"/>
    </row>
    <row r="4" spans="2:18" x14ac:dyDescent="0.2">
      <c r="N4" s="86"/>
    </row>
    <row r="5" spans="2:18" x14ac:dyDescent="0.2">
      <c r="B5" s="96" t="s">
        <v>143</v>
      </c>
      <c r="G5" s="37">
        <f>G7-G6</f>
        <v>11755</v>
      </c>
      <c r="H5" s="37">
        <f>H7-H6</f>
        <v>10263.010881522994</v>
      </c>
      <c r="I5" s="95"/>
    </row>
    <row r="6" spans="2:18" x14ac:dyDescent="0.2">
      <c r="B6" s="94" t="s">
        <v>209</v>
      </c>
      <c r="G6" s="38">
        <f>-63-59+146-99+168</f>
        <v>93</v>
      </c>
      <c r="H6" s="38">
        <v>0</v>
      </c>
      <c r="I6" s="97"/>
    </row>
    <row r="7" spans="2:18" x14ac:dyDescent="0.2">
      <c r="B7" s="96" t="s">
        <v>145</v>
      </c>
      <c r="G7" s="79">
        <v>11848</v>
      </c>
      <c r="H7" s="79">
        <v>10263.010881522994</v>
      </c>
      <c r="I7" s="95"/>
    </row>
    <row r="8" spans="2:18" x14ac:dyDescent="0.2">
      <c r="B8" s="85" t="s">
        <v>22</v>
      </c>
      <c r="G8" s="37">
        <f>-159-177-82</f>
        <v>-418</v>
      </c>
      <c r="H8" s="37">
        <v>-100.49493441713548</v>
      </c>
      <c r="I8" s="95"/>
    </row>
    <row r="9" spans="2:18" x14ac:dyDescent="0.2">
      <c r="B9" s="96" t="s">
        <v>2</v>
      </c>
      <c r="G9" s="37">
        <f>G7+G8</f>
        <v>11430</v>
      </c>
      <c r="H9" s="37">
        <f>H7+H8</f>
        <v>10162.515947105858</v>
      </c>
      <c r="I9" s="95"/>
    </row>
    <row r="10" spans="2:18" x14ac:dyDescent="0.2">
      <c r="B10" s="85" t="s">
        <v>15</v>
      </c>
      <c r="G10" s="37">
        <v>-4785</v>
      </c>
      <c r="H10" s="37">
        <v>-3872.2459602297213</v>
      </c>
      <c r="I10" s="95"/>
      <c r="N10" s="86"/>
      <c r="P10" s="94"/>
    </row>
    <row r="11" spans="2:18" x14ac:dyDescent="0.2">
      <c r="B11" s="94" t="s">
        <v>281</v>
      </c>
      <c r="G11" s="37">
        <f>-58</f>
        <v>-58</v>
      </c>
      <c r="H11" s="37">
        <v>-16.858578033564008</v>
      </c>
      <c r="I11" s="95"/>
      <c r="N11" s="86"/>
    </row>
    <row r="12" spans="2:18" x14ac:dyDescent="0.2">
      <c r="B12" s="96" t="s">
        <v>3</v>
      </c>
      <c r="G12" s="37">
        <f>G9+G10+G11</f>
        <v>6587</v>
      </c>
      <c r="H12" s="37">
        <f>H9+H10+H11</f>
        <v>6273.4114088425722</v>
      </c>
      <c r="I12" s="95"/>
    </row>
    <row r="13" spans="2:18" x14ac:dyDescent="0.2">
      <c r="B13" s="85" t="s">
        <v>26</v>
      </c>
      <c r="G13" s="37">
        <f>G8</f>
        <v>-418</v>
      </c>
      <c r="H13" s="37">
        <f>H8</f>
        <v>-100.49493441713548</v>
      </c>
      <c r="I13" s="95"/>
    </row>
    <row r="14" spans="2:18" x14ac:dyDescent="0.2">
      <c r="B14" s="96" t="s">
        <v>20</v>
      </c>
      <c r="G14" s="37">
        <f>G11</f>
        <v>-58</v>
      </c>
      <c r="H14" s="37">
        <f>H11</f>
        <v>-16.858578033564008</v>
      </c>
      <c r="I14" s="95"/>
      <c r="N14" s="86"/>
    </row>
    <row r="15" spans="2:18" x14ac:dyDescent="0.2">
      <c r="B15" s="96" t="s">
        <v>21</v>
      </c>
      <c r="G15" s="37">
        <f>G12-G13-G14</f>
        <v>7063</v>
      </c>
      <c r="H15" s="37">
        <f>H12-H13-H14</f>
        <v>6390.764921293272</v>
      </c>
      <c r="I15" s="95"/>
    </row>
    <row r="16" spans="2:18" x14ac:dyDescent="0.2">
      <c r="B16" s="94" t="s">
        <v>210</v>
      </c>
      <c r="G16" s="37">
        <f>G6</f>
        <v>93</v>
      </c>
      <c r="H16" s="37">
        <f>H6</f>
        <v>0</v>
      </c>
      <c r="I16" s="95"/>
    </row>
    <row r="17" spans="1:13" x14ac:dyDescent="0.2">
      <c r="B17" s="96" t="s">
        <v>144</v>
      </c>
      <c r="G17" s="37">
        <f>G15-G16</f>
        <v>6970</v>
      </c>
      <c r="H17" s="37">
        <f>H15-H16</f>
        <v>6390.764921293272</v>
      </c>
      <c r="I17" s="95"/>
    </row>
    <row r="19" spans="1:13" s="94" customFormat="1" x14ac:dyDescent="0.2">
      <c r="B19" s="94" t="s">
        <v>284</v>
      </c>
    </row>
    <row r="20" spans="1:13" ht="21.75" customHeight="1" x14ac:dyDescent="0.2">
      <c r="B20" s="92" t="s">
        <v>279</v>
      </c>
    </row>
    <row r="21" spans="1:13" x14ac:dyDescent="0.2">
      <c r="B21" s="92"/>
    </row>
    <row r="22" spans="1:13" ht="15.75" x14ac:dyDescent="0.25">
      <c r="B22" s="93" t="s">
        <v>129</v>
      </c>
    </row>
    <row r="23" spans="1:13" ht="41.25" customHeight="1" x14ac:dyDescent="0.2">
      <c r="B23" s="183" t="s">
        <v>282</v>
      </c>
      <c r="C23" s="183"/>
      <c r="D23" s="183"/>
      <c r="E23" s="183"/>
      <c r="F23" s="183"/>
      <c r="G23" s="183"/>
      <c r="H23" s="183"/>
      <c r="I23" s="183"/>
      <c r="J23" s="183"/>
      <c r="K23" s="183"/>
      <c r="L23" s="183"/>
      <c r="M23" s="183"/>
    </row>
    <row r="24" spans="1:13" ht="47.25" customHeight="1" x14ac:dyDescent="0.2">
      <c r="B24" s="183" t="s">
        <v>285</v>
      </c>
      <c r="C24" s="183"/>
      <c r="D24" s="183"/>
      <c r="E24" s="183"/>
      <c r="F24" s="183"/>
      <c r="G24" s="183"/>
      <c r="H24" s="183"/>
      <c r="I24" s="183"/>
      <c r="J24" s="183"/>
      <c r="K24" s="183"/>
      <c r="L24" s="183"/>
      <c r="M24" s="183"/>
    </row>
    <row r="25" spans="1:13" x14ac:dyDescent="0.2">
      <c r="A25" s="87"/>
      <c r="B25" s="101"/>
      <c r="C25" s="101"/>
      <c r="D25" s="101"/>
      <c r="E25" s="101"/>
      <c r="F25" s="101"/>
      <c r="G25" s="101"/>
      <c r="H25" s="101"/>
      <c r="I25" s="101"/>
      <c r="J25" s="101"/>
      <c r="K25" s="101"/>
      <c r="L25" s="101"/>
      <c r="M25" s="101"/>
    </row>
    <row r="26" spans="1:13" ht="15.75" x14ac:dyDescent="0.25">
      <c r="A26" s="87"/>
      <c r="B26" s="99" t="s">
        <v>280</v>
      </c>
      <c r="C26" s="90"/>
      <c r="D26" s="90"/>
      <c r="E26" s="90"/>
      <c r="F26" s="90"/>
      <c r="G26" s="90"/>
      <c r="H26" s="90"/>
      <c r="I26" s="90"/>
      <c r="J26" s="87"/>
    </row>
    <row r="27" spans="1:13" s="87" customFormat="1" ht="15.75" x14ac:dyDescent="0.25">
      <c r="B27" s="99"/>
      <c r="C27" s="90"/>
      <c r="D27" s="90"/>
      <c r="E27" s="90"/>
      <c r="F27" s="90"/>
      <c r="G27" s="90"/>
      <c r="H27" s="90"/>
      <c r="I27" s="90"/>
      <c r="J27" s="103" t="s">
        <v>283</v>
      </c>
    </row>
    <row r="28" spans="1:13" s="87" customFormat="1" x14ac:dyDescent="0.2">
      <c r="B28" s="90"/>
      <c r="C28" s="90" t="s">
        <v>73</v>
      </c>
      <c r="D28" s="90"/>
      <c r="E28" s="90"/>
      <c r="F28" s="100" t="s">
        <v>82</v>
      </c>
      <c r="G28" s="90"/>
      <c r="H28" s="88" t="s">
        <v>276</v>
      </c>
      <c r="I28" s="90"/>
      <c r="J28" s="102">
        <v>5.7000000000000002E-2</v>
      </c>
    </row>
    <row r="29" spans="1:13" s="87" customFormat="1" x14ac:dyDescent="0.2">
      <c r="B29" s="90"/>
      <c r="C29" s="90" t="s">
        <v>151</v>
      </c>
      <c r="D29" s="90"/>
      <c r="E29" s="90"/>
      <c r="F29" s="90" t="s">
        <v>275</v>
      </c>
      <c r="G29" s="90"/>
      <c r="H29" s="88" t="s">
        <v>274</v>
      </c>
      <c r="I29" s="90"/>
      <c r="J29" s="102">
        <v>0.35199999999999998</v>
      </c>
    </row>
    <row r="30" spans="1:13" s="87" customFormat="1" x14ac:dyDescent="0.2">
      <c r="B30" s="90"/>
      <c r="C30" s="90" t="s">
        <v>152</v>
      </c>
      <c r="D30" s="90"/>
      <c r="E30" s="90"/>
      <c r="F30" s="90" t="s">
        <v>273</v>
      </c>
      <c r="G30" s="90"/>
      <c r="H30" s="88" t="s">
        <v>232</v>
      </c>
      <c r="I30" s="90"/>
      <c r="J30" s="102">
        <v>0.18</v>
      </c>
    </row>
    <row r="31" spans="1:13" s="87" customFormat="1" x14ac:dyDescent="0.2">
      <c r="B31" s="90"/>
      <c r="C31" s="90"/>
      <c r="D31" s="90"/>
      <c r="E31" s="90"/>
      <c r="F31" s="90"/>
      <c r="G31" s="90"/>
      <c r="H31" s="88"/>
      <c r="I31" s="90"/>
      <c r="J31" s="88"/>
    </row>
    <row r="32" spans="1:13" s="87" customFormat="1" x14ac:dyDescent="0.2">
      <c r="B32" s="90" t="s">
        <v>286</v>
      </c>
      <c r="C32" s="90"/>
      <c r="D32" s="90"/>
      <c r="E32" s="90"/>
      <c r="F32" s="90"/>
      <c r="G32" s="90"/>
      <c r="H32" s="88"/>
      <c r="I32" s="90"/>
      <c r="J32" s="88"/>
    </row>
    <row r="33" spans="1:10" s="87" customFormat="1" x14ac:dyDescent="0.2">
      <c r="B33" s="91"/>
      <c r="C33" s="90"/>
      <c r="D33" s="90"/>
      <c r="E33" s="90"/>
      <c r="F33" s="90"/>
      <c r="G33" s="90"/>
      <c r="H33" s="90"/>
      <c r="I33" s="90"/>
    </row>
    <row r="34" spans="1:10" s="87" customFormat="1" x14ac:dyDescent="0.2">
      <c r="B34" s="91" t="s">
        <v>219</v>
      </c>
    </row>
    <row r="35" spans="1:10" x14ac:dyDescent="0.2">
      <c r="A35" s="87"/>
      <c r="B35" s="89"/>
      <c r="C35" s="87"/>
      <c r="D35" s="87"/>
      <c r="E35" s="87"/>
      <c r="F35" s="87"/>
      <c r="G35" s="87"/>
      <c r="H35" s="87"/>
      <c r="I35" s="87"/>
      <c r="J35" s="87"/>
    </row>
    <row r="36" spans="1:10" x14ac:dyDescent="0.2">
      <c r="B36" s="86"/>
      <c r="F36" s="87"/>
      <c r="G36" s="87"/>
      <c r="H36" s="87"/>
      <c r="I36" s="87"/>
      <c r="J36" s="87"/>
    </row>
    <row r="37" spans="1:10" x14ac:dyDescent="0.2">
      <c r="B37" s="86"/>
    </row>
    <row r="38" spans="1:10" x14ac:dyDescent="0.2">
      <c r="B38" s="86"/>
    </row>
  </sheetData>
  <mergeCells count="2">
    <mergeCell ref="B23:M23"/>
    <mergeCell ref="B24:M24"/>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31</vt:i4>
      </vt:variant>
    </vt:vector>
  </HeadingPairs>
  <TitlesOfParts>
    <vt:vector size="64" baseType="lpstr">
      <vt:lpstr>Telenor Q317 </vt:lpstr>
      <vt:lpstr>Telenor Q217</vt:lpstr>
      <vt:lpstr>Telenor Q117</vt:lpstr>
      <vt:lpstr>Telenor Q416 </vt:lpstr>
      <vt:lpstr>Telenor Q316</vt:lpstr>
      <vt:lpstr>Telenor Q216</vt:lpstr>
      <vt:lpstr>Telenor Q116</vt:lpstr>
      <vt:lpstr>Telenor Q415</vt:lpstr>
      <vt:lpstr>Telenor Q315</vt:lpstr>
      <vt:lpstr>Telenor Q215</vt:lpstr>
      <vt:lpstr>Telenor Q115</vt:lpstr>
      <vt:lpstr>Telenor Q414</vt:lpstr>
      <vt:lpstr>Telenor Q314</vt:lpstr>
      <vt:lpstr>Telenor Q214</vt:lpstr>
      <vt:lpstr>Telenor Q114</vt:lpstr>
      <vt:lpstr>Telenor Q413</vt:lpstr>
      <vt:lpstr>Telenor Q313</vt:lpstr>
      <vt:lpstr>Telenor Q213</vt:lpstr>
      <vt:lpstr>Telenor Q113</vt:lpstr>
      <vt:lpstr>Telenor Q412</vt:lpstr>
      <vt:lpstr>Telenor Q312</vt:lpstr>
      <vt:lpstr>Telenor Q212</vt:lpstr>
      <vt:lpstr>Telenor Q112</vt:lpstr>
      <vt:lpstr>Telenor Q411</vt:lpstr>
      <vt:lpstr>Telenor Q311</vt:lpstr>
      <vt:lpstr>Telenor Q211</vt:lpstr>
      <vt:lpstr>Telenor Q111</vt:lpstr>
      <vt:lpstr>Telenor Q410</vt:lpstr>
      <vt:lpstr>Telenor Q310</vt:lpstr>
      <vt:lpstr>Telenor Q210</vt:lpstr>
      <vt:lpstr>Telenor Q110</vt:lpstr>
      <vt:lpstr>Telenor Q409</vt:lpstr>
      <vt:lpstr>Telenor Q309</vt:lpstr>
      <vt:lpstr>'Telenor Q110'!Print_Area</vt:lpstr>
      <vt:lpstr>'Telenor Q111'!Print_Area</vt:lpstr>
      <vt:lpstr>'Telenor Q112'!Print_Area</vt:lpstr>
      <vt:lpstr>'Telenor Q113'!Print_Area</vt:lpstr>
      <vt:lpstr>'Telenor Q114'!Print_Area</vt:lpstr>
      <vt:lpstr>'Telenor Q115'!Print_Area</vt:lpstr>
      <vt:lpstr>'Telenor Q116'!Print_Area</vt:lpstr>
      <vt:lpstr>'Telenor Q117'!Print_Area</vt:lpstr>
      <vt:lpstr>'Telenor Q210'!Print_Area</vt:lpstr>
      <vt:lpstr>'Telenor Q211'!Print_Area</vt:lpstr>
      <vt:lpstr>'Telenor Q212'!Print_Area</vt:lpstr>
      <vt:lpstr>'Telenor Q213'!Print_Area</vt:lpstr>
      <vt:lpstr>'Telenor Q214'!Print_Area</vt:lpstr>
      <vt:lpstr>'Telenor Q215'!Print_Area</vt:lpstr>
      <vt:lpstr>'Telenor Q216'!Print_Area</vt:lpstr>
      <vt:lpstr>'Telenor Q217'!Print_Area</vt:lpstr>
      <vt:lpstr>'Telenor Q310'!Print_Area</vt:lpstr>
      <vt:lpstr>'Telenor Q311'!Print_Area</vt:lpstr>
      <vt:lpstr>'Telenor Q312'!Print_Area</vt:lpstr>
      <vt:lpstr>'Telenor Q313'!Print_Area</vt:lpstr>
      <vt:lpstr>'Telenor Q314'!Print_Area</vt:lpstr>
      <vt:lpstr>'Telenor Q315'!Print_Area</vt:lpstr>
      <vt:lpstr>'Telenor Q316'!Print_Area</vt:lpstr>
      <vt:lpstr>'Telenor Q317 '!Print_Area</vt:lpstr>
      <vt:lpstr>'Telenor Q410'!Print_Area</vt:lpstr>
      <vt:lpstr>'Telenor Q411'!Print_Area</vt:lpstr>
      <vt:lpstr>'Telenor Q412'!Print_Area</vt:lpstr>
      <vt:lpstr>'Telenor Q413'!Print_Area</vt:lpstr>
      <vt:lpstr>'Telenor Q414'!Print_Area</vt:lpstr>
      <vt:lpstr>'Telenor Q415'!Print_Area</vt:lpstr>
      <vt:lpstr>'Telenor Q416 '!Print_Area</vt:lpstr>
    </vt:vector>
  </TitlesOfParts>
  <Company>Telenor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T716067;helge.oien@telenor.com</dc:creator>
  <cp:lastModifiedBy>Helge Øien</cp:lastModifiedBy>
  <cp:lastPrinted>2017-02-01T14:59:55Z</cp:lastPrinted>
  <dcterms:created xsi:type="dcterms:W3CDTF">2009-10-22T15:33:57Z</dcterms:created>
  <dcterms:modified xsi:type="dcterms:W3CDTF">2017-10-24T15:40:46Z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