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https://telenorgroup.sharepoint.com/sites/GroupInvestorRelationsTelenorASA/Shared Documents/Quarterly results/2026/Q3 2026/Reconciliation/"/>
    </mc:Choice>
  </mc:AlternateContent>
  <xr:revisionPtr revIDLastSave="950" documentId="8_{68C68490-4696-406E-89D5-DA3240A60DE2}" xr6:coauthVersionLast="47" xr6:coauthVersionMax="47" xr10:uidLastSave="{D53700A2-C26D-4A39-B71A-E8C55FEEB62B}"/>
  <bookViews>
    <workbookView xWindow="16095" yWindow="1410" windowWidth="29010" windowHeight="15345" tabRatio="794" xr2:uid="{00000000-000D-0000-FFFF-FFFF00000000}"/>
  </bookViews>
  <sheets>
    <sheet name="Telenor Q3 26" sheetId="35" r:id="rId1"/>
    <sheet name="Telenor Q2 26" sheetId="34" r:id="rId2"/>
    <sheet name="Telenor Q1 26" sheetId="33" r:id="rId3"/>
    <sheet name="Telenor Q4 25" sheetId="32" r:id="rId4"/>
    <sheet name="Telenor Q3 25" sheetId="31" r:id="rId5"/>
    <sheet name="Telenor Q2 25" sheetId="30" r:id="rId6"/>
    <sheet name="Telenor Q1 25" sheetId="29" r:id="rId7"/>
    <sheet name="Telenor Q4 24" sheetId="28" r:id="rId8"/>
    <sheet name="Telenor Q3 24" sheetId="26" r:id="rId9"/>
    <sheet name="Telenor Q2 24" sheetId="27" r:id="rId10"/>
    <sheet name="Telenor Q1 24" sheetId="25" r:id="rId11"/>
    <sheet name="Telenor Q4 23" sheetId="22" r:id="rId12"/>
    <sheet name="Telenor Q323" sheetId="21" r:id="rId13"/>
    <sheet name="Telenor Q223" sheetId="18" r:id="rId14"/>
    <sheet name="Telenor Q123" sheetId="20" r:id="rId15"/>
    <sheet name="Telenor Q422" sheetId="17" r:id="rId16"/>
    <sheet name="Telenor Q322" sheetId="16" r:id="rId17"/>
    <sheet name="Telenor Q222" sheetId="14" r:id="rId18"/>
    <sheet name="Telenor Q122" sheetId="13" r:id="rId19"/>
    <sheet name="Telenor Q421" sheetId="12" r:id="rId20"/>
    <sheet name="Telenor Q321" sheetId="11" r:id="rId21"/>
    <sheet name="Telenor Q221" sheetId="10" r:id="rId22"/>
    <sheet name="Telenor Q121 incl. Myanmar" sheetId="9" r:id="rId23"/>
    <sheet name="Telenor Q420 incl. Myanmar" sheetId="8" r:id="rId24"/>
    <sheet name=" Telenor Q320 incl. Myanmar" sheetId="7" r:id="rId25"/>
    <sheet name=" Telenor Q220 incl. Myanmar " sheetId="6" r:id="rId26"/>
    <sheet name="Telenor Q120 incl. Myanmar" sheetId="5" r:id="rId27"/>
    <sheet name="Telenor Q419 pre IFRS 16" sheetId="4" r:id="rId28"/>
    <sheet name="Telenor Q319 pre IFRS 16" sheetId="3" r:id="rId29"/>
    <sheet name=" Telenor Q219 pre IFRS 16" sheetId="2" r:id="rId30"/>
    <sheet name="Telenor Q119 pre IFRS 16" sheetId="1" r:id="rId31"/>
  </sheets>
  <definedNames>
    <definedName name="_xlnm.Print_Area" localSheetId="29">' Telenor Q219 pre IFRS 16'!$A$1:$L$27</definedName>
    <definedName name="_xlnm.Print_Area" localSheetId="25">' Telenor Q220 incl. Myanmar '!$A$1:$L$27</definedName>
    <definedName name="_xlnm.Print_Area" localSheetId="24">' Telenor Q320 incl. Myanmar'!$A$1:$L$27</definedName>
    <definedName name="_xlnm.Print_Area" localSheetId="10">'Telenor Q1 24'!$A$1:$L$20</definedName>
    <definedName name="_xlnm.Print_Area" localSheetId="6">'Telenor Q1 25'!$A$1:$L$20</definedName>
    <definedName name="_xlnm.Print_Area" localSheetId="30">'Telenor Q119 pre IFRS 16'!$A$1:$L$27</definedName>
    <definedName name="_xlnm.Print_Area" localSheetId="26">'Telenor Q120 incl. Myanmar'!$A$1:$L$27</definedName>
    <definedName name="_xlnm.Print_Area" localSheetId="22">'Telenor Q121 incl. Myanmar'!$A$1:$L$27</definedName>
    <definedName name="_xlnm.Print_Area" localSheetId="18">'Telenor Q122'!$A$1:$L$27</definedName>
    <definedName name="_xlnm.Print_Area" localSheetId="14">'Telenor Q123'!$A$1:$K$26</definedName>
    <definedName name="_xlnm.Print_Area" localSheetId="9">'Telenor Q2 24'!$A$1:$L$20</definedName>
    <definedName name="_xlnm.Print_Area" localSheetId="5">'Telenor Q2 25'!$A$1:$L$20</definedName>
    <definedName name="_xlnm.Print_Area" localSheetId="21">'Telenor Q221'!$A$1:$L$27</definedName>
    <definedName name="_xlnm.Print_Area" localSheetId="17">'Telenor Q222'!$A$1:$L$27</definedName>
    <definedName name="_xlnm.Print_Area" localSheetId="13">'Telenor Q223'!$A$1:$L$28</definedName>
    <definedName name="_xlnm.Print_Area" localSheetId="8">'Telenor Q3 24'!$A$1:$L$20</definedName>
    <definedName name="_xlnm.Print_Area" localSheetId="28">'Telenor Q319 pre IFRS 16'!$A$1:$L$27</definedName>
    <definedName name="_xlnm.Print_Area" localSheetId="20">'Telenor Q321'!$A$1:$L$27</definedName>
    <definedName name="_xlnm.Print_Area" localSheetId="16">'Telenor Q322'!$A$1:$L$27</definedName>
    <definedName name="_xlnm.Print_Area" localSheetId="11">'Telenor Q4 23'!$A$1:$L$20</definedName>
    <definedName name="_xlnm.Print_Area" localSheetId="7">'Telenor Q4 24'!$A$1:$L$20</definedName>
    <definedName name="_xlnm.Print_Area" localSheetId="27">'Telenor Q419 pre IFRS 16'!$A$1:$L$27</definedName>
    <definedName name="_xlnm.Print_Area" localSheetId="23">'Telenor Q420 incl. Myanmar'!$A$1:$L$27</definedName>
    <definedName name="_xlnm.Print_Area" localSheetId="19">'Telenor Q421'!$A$1:$L$27</definedName>
    <definedName name="_xlnm.Print_Area" localSheetId="15">'Telenor Q422'!$A$1:$L$26</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35" l="1"/>
  <c r="F13" i="35"/>
  <c r="F12" i="35"/>
  <c r="E8" i="35"/>
  <c r="E13" i="35"/>
  <c r="E6" i="35"/>
  <c r="F16" i="35"/>
  <c r="F14" i="35"/>
  <c r="F5" i="35"/>
  <c r="E14" i="35"/>
  <c r="E12" i="35"/>
  <c r="E8" i="34"/>
  <c r="F8" i="34"/>
  <c r="F7" i="34"/>
  <c r="F13" i="34"/>
  <c r="E16" i="34"/>
  <c r="F16" i="34"/>
  <c r="F14" i="34"/>
  <c r="E14" i="34"/>
  <c r="F12" i="34"/>
  <c r="E12" i="34"/>
  <c r="F8" i="33"/>
  <c r="E16" i="35"/>
  <c r="E5" i="35"/>
  <c r="F15" i="35"/>
  <c r="F18" i="35"/>
  <c r="E15" i="35"/>
  <c r="E7" i="34"/>
  <c r="E5" i="34"/>
  <c r="E13" i="34"/>
  <c r="E15" i="34"/>
  <c r="F5" i="34"/>
  <c r="F15" i="34"/>
  <c r="F18" i="34"/>
  <c r="E18" i="34"/>
  <c r="E8" i="33"/>
  <c r="E13" i="33"/>
  <c r="F16" i="33"/>
  <c r="E16" i="33"/>
  <c r="F14" i="33"/>
  <c r="E14" i="33"/>
  <c r="F13" i="33"/>
  <c r="F12" i="33"/>
  <c r="E12" i="33"/>
  <c r="F7" i="33"/>
  <c r="F5" i="33"/>
  <c r="E7" i="33"/>
  <c r="E5" i="33"/>
  <c r="E5" i="32"/>
  <c r="F5" i="32"/>
  <c r="F6" i="32"/>
  <c r="F16" i="32"/>
  <c r="F7" i="32"/>
  <c r="E7" i="32"/>
  <c r="E12" i="32"/>
  <c r="F12" i="32"/>
  <c r="E13" i="32"/>
  <c r="F13" i="32"/>
  <c r="E16" i="32"/>
  <c r="E18" i="32"/>
  <c r="F14" i="32"/>
  <c r="E14" i="32"/>
  <c r="F8" i="31"/>
  <c r="F13" i="31"/>
  <c r="E8" i="31"/>
  <c r="E13" i="31"/>
  <c r="F17" i="26"/>
  <c r="F16" i="31"/>
  <c r="E16" i="31"/>
  <c r="F14" i="31"/>
  <c r="E14" i="31"/>
  <c r="E12" i="31"/>
  <c r="F5" i="31"/>
  <c r="E15" i="30"/>
  <c r="E8" i="30"/>
  <c r="E7" i="30"/>
  <c r="E10" i="30"/>
  <c r="E16" i="22"/>
  <c r="F15" i="32"/>
  <c r="F18" i="32"/>
  <c r="E15" i="32"/>
  <c r="F15" i="31"/>
  <c r="F18" i="31"/>
  <c r="E15" i="31"/>
  <c r="E18" i="31"/>
  <c r="E5" i="31"/>
  <c r="E5" i="29"/>
  <c r="E13" i="30"/>
  <c r="F16" i="30"/>
  <c r="F14" i="30"/>
  <c r="F13" i="30"/>
  <c r="F12" i="30"/>
  <c r="F5" i="30"/>
  <c r="E16" i="30"/>
  <c r="E14" i="30"/>
  <c r="E12" i="30"/>
  <c r="E5" i="30"/>
  <c r="E6" i="29"/>
  <c r="E15" i="29"/>
  <c r="E13" i="29"/>
  <c r="E12" i="29"/>
  <c r="F12" i="29"/>
  <c r="E9" i="29"/>
  <c r="E8" i="29"/>
  <c r="E14" i="29"/>
  <c r="F16" i="29"/>
  <c r="F14" i="29"/>
  <c r="F8" i="29"/>
  <c r="F13" i="29"/>
  <c r="F5" i="29"/>
  <c r="E5" i="28"/>
  <c r="E6" i="28"/>
  <c r="E15" i="28"/>
  <c r="F15" i="30"/>
  <c r="F18" i="30"/>
  <c r="E18" i="30"/>
  <c r="E16" i="29"/>
  <c r="E17" i="29"/>
  <c r="F15" i="29"/>
  <c r="F17" i="29"/>
  <c r="F12" i="28"/>
  <c r="F17" i="28"/>
  <c r="E16" i="28"/>
  <c r="E17" i="28"/>
  <c r="E14" i="28"/>
  <c r="E13" i="28"/>
  <c r="F14" i="28"/>
  <c r="F8" i="28"/>
  <c r="F13" i="28"/>
  <c r="F6" i="28"/>
  <c r="F5" i="28"/>
  <c r="E14" i="26"/>
  <c r="E12" i="26"/>
  <c r="E15" i="26"/>
  <c r="E8" i="26"/>
  <c r="E13" i="26"/>
  <c r="E5" i="26"/>
  <c r="F16" i="27"/>
  <c r="E16" i="27"/>
  <c r="F14" i="27"/>
  <c r="E14" i="27"/>
  <c r="F13" i="27"/>
  <c r="E13" i="27"/>
  <c r="E12" i="27"/>
  <c r="E15" i="27"/>
  <c r="E18" i="27"/>
  <c r="F9" i="27"/>
  <c r="F12" i="27"/>
  <c r="F15" i="27"/>
  <c r="F18" i="27"/>
  <c r="F5" i="27"/>
  <c r="E5" i="27"/>
  <c r="E16" i="26"/>
  <c r="F8" i="26"/>
  <c r="F14" i="26"/>
  <c r="F16" i="26"/>
  <c r="F5" i="26"/>
  <c r="E17" i="26"/>
  <c r="F12" i="26"/>
  <c r="F13" i="26"/>
  <c r="E15" i="25"/>
  <c r="E5" i="25"/>
  <c r="F15" i="26"/>
  <c r="F16" i="25"/>
  <c r="E16" i="25"/>
  <c r="E17" i="25"/>
  <c r="E13" i="25"/>
  <c r="E12" i="25"/>
  <c r="F8" i="25"/>
  <c r="F13" i="25"/>
  <c r="E8" i="25"/>
  <c r="F14" i="25"/>
  <c r="E14" i="25"/>
  <c r="F12" i="25"/>
  <c r="F15" i="25"/>
  <c r="F17" i="25"/>
  <c r="F5" i="25"/>
  <c r="F16" i="22"/>
  <c r="E17" i="22"/>
  <c r="F14" i="22"/>
  <c r="F15" i="22"/>
  <c r="F17" i="22"/>
  <c r="E14" i="22"/>
  <c r="F12" i="22"/>
  <c r="E12" i="22"/>
  <c r="F8" i="22"/>
  <c r="F13" i="22"/>
  <c r="E8" i="22"/>
  <c r="E13" i="22"/>
  <c r="F6" i="22"/>
  <c r="F5" i="22"/>
  <c r="E6" i="22"/>
  <c r="E5" i="22"/>
  <c r="F16" i="21"/>
  <c r="E16" i="21"/>
  <c r="F14" i="21"/>
  <c r="E14" i="21"/>
  <c r="F12" i="21"/>
  <c r="F9" i="21"/>
  <c r="F8" i="21"/>
  <c r="F13" i="21"/>
  <c r="E8" i="21"/>
  <c r="E13" i="21"/>
  <c r="E15" i="21"/>
  <c r="E17" i="21"/>
  <c r="F5" i="21"/>
  <c r="E5" i="21"/>
  <c r="E9" i="18"/>
  <c r="E15" i="18"/>
  <c r="E14" i="18"/>
  <c r="F18" i="18"/>
  <c r="F6" i="18"/>
  <c r="F5" i="18"/>
  <c r="F17" i="20"/>
  <c r="E17" i="20"/>
  <c r="F15" i="20"/>
  <c r="E15" i="20"/>
  <c r="F14" i="20"/>
  <c r="F16" i="20"/>
  <c r="E14" i="20"/>
  <c r="F10" i="20"/>
  <c r="E10" i="20"/>
  <c r="F6" i="20"/>
  <c r="E6" i="20"/>
  <c r="E12" i="18"/>
  <c r="E13" i="18"/>
  <c r="E16" i="18"/>
  <c r="E5" i="18"/>
  <c r="F14" i="18"/>
  <c r="F13" i="18"/>
  <c r="F9" i="18"/>
  <c r="F12" i="18"/>
  <c r="F15" i="18"/>
  <c r="F17" i="21"/>
  <c r="E18" i="18"/>
  <c r="F16" i="18"/>
  <c r="F18" i="20"/>
  <c r="E16" i="20"/>
  <c r="E18" i="20"/>
  <c r="E9" i="17"/>
  <c r="E6" i="17"/>
  <c r="E5" i="17"/>
  <c r="F9" i="17"/>
  <c r="F14" i="17"/>
  <c r="E14" i="17"/>
  <c r="F13" i="17"/>
  <c r="E13" i="17"/>
  <c r="F5" i="17"/>
  <c r="E12" i="16"/>
  <c r="F8" i="16"/>
  <c r="F13" i="16"/>
  <c r="E8" i="16"/>
  <c r="E13" i="16"/>
  <c r="F6" i="16"/>
  <c r="F16" i="16"/>
  <c r="E5" i="16"/>
  <c r="F14" i="16"/>
  <c r="F9" i="16"/>
  <c r="F12" i="16"/>
  <c r="E14" i="16"/>
  <c r="E9" i="16"/>
  <c r="E6" i="14"/>
  <c r="F16" i="14"/>
  <c r="F14" i="14"/>
  <c r="E14" i="14"/>
  <c r="F13" i="14"/>
  <c r="E13" i="14"/>
  <c r="F9" i="14"/>
  <c r="F12" i="14"/>
  <c r="F15" i="14"/>
  <c r="F17" i="14"/>
  <c r="E9" i="14"/>
  <c r="E12" i="14"/>
  <c r="E15" i="14"/>
  <c r="E5" i="14"/>
  <c r="F5" i="14"/>
  <c r="E15" i="13"/>
  <c r="E14" i="13"/>
  <c r="E9" i="13"/>
  <c r="E16" i="17"/>
  <c r="E15" i="17"/>
  <c r="F15" i="17"/>
  <c r="F16" i="17"/>
  <c r="F15" i="16"/>
  <c r="E15" i="16"/>
  <c r="F17" i="16"/>
  <c r="F5" i="16"/>
  <c r="E16" i="16"/>
  <c r="E16" i="14"/>
  <c r="E17" i="14"/>
  <c r="E16" i="13"/>
  <c r="F14" i="13"/>
  <c r="F13" i="13"/>
  <c r="E13" i="13"/>
  <c r="F16" i="13"/>
  <c r="F5" i="13"/>
  <c r="E5" i="13"/>
  <c r="F6" i="12"/>
  <c r="F14" i="12"/>
  <c r="E14" i="12"/>
  <c r="F13" i="12"/>
  <c r="E13" i="12"/>
  <c r="F5" i="12"/>
  <c r="E16" i="12"/>
  <c r="E5" i="12"/>
  <c r="E12" i="11"/>
  <c r="E9" i="11"/>
  <c r="E6" i="11"/>
  <c r="E5" i="11"/>
  <c r="F6" i="11"/>
  <c r="F16" i="11"/>
  <c r="F14" i="11"/>
  <c r="E14" i="11"/>
  <c r="F13" i="11"/>
  <c r="E13" i="11"/>
  <c r="F9" i="11"/>
  <c r="F12" i="11"/>
  <c r="E16" i="11"/>
  <c r="F5" i="11"/>
  <c r="E6" i="10"/>
  <c r="E17" i="17"/>
  <c r="F17" i="17"/>
  <c r="E17" i="16"/>
  <c r="F15" i="13"/>
  <c r="F17" i="13"/>
  <c r="E17" i="13"/>
  <c r="F15" i="12"/>
  <c r="E15" i="12"/>
  <c r="E17" i="12"/>
  <c r="F16" i="12"/>
  <c r="E15" i="11"/>
  <c r="E17" i="11"/>
  <c r="F15" i="11"/>
  <c r="F17" i="11"/>
  <c r="F12" i="10"/>
  <c r="F17" i="12"/>
  <c r="F13" i="10"/>
  <c r="F15" i="10"/>
  <c r="F17" i="10"/>
  <c r="F16" i="10"/>
  <c r="F14" i="10"/>
  <c r="F9" i="10"/>
  <c r="F5" i="10"/>
  <c r="E16" i="10"/>
  <c r="E14" i="10"/>
  <c r="E13" i="10"/>
  <c r="E9" i="10"/>
  <c r="E12" i="10"/>
  <c r="E5" i="10"/>
  <c r="E15" i="10"/>
  <c r="E17" i="10"/>
  <c r="F14" i="9"/>
  <c r="F13" i="9"/>
  <c r="F15" i="9"/>
  <c r="F17" i="9"/>
  <c r="F9" i="9"/>
  <c r="F5" i="9"/>
  <c r="E16" i="9"/>
  <c r="E13" i="9"/>
  <c r="E15" i="9"/>
  <c r="E17" i="9"/>
  <c r="E14" i="9"/>
  <c r="E9" i="9"/>
  <c r="E5" i="9"/>
  <c r="E6" i="8"/>
  <c r="F8" i="8"/>
  <c r="F13" i="8"/>
  <c r="F6" i="8"/>
  <c r="F16" i="8"/>
  <c r="E8" i="8"/>
  <c r="E16" i="8"/>
  <c r="F14" i="8"/>
  <c r="E14" i="8"/>
  <c r="E13" i="8"/>
  <c r="E15" i="8"/>
  <c r="F5" i="8"/>
  <c r="E5" i="8"/>
  <c r="F15" i="8"/>
  <c r="F17" i="8"/>
  <c r="E17" i="8"/>
  <c r="E6" i="7"/>
  <c r="F6" i="7"/>
  <c r="F16" i="7"/>
  <c r="E16" i="7"/>
  <c r="E14" i="7"/>
  <c r="F13" i="7"/>
  <c r="F14" i="7"/>
  <c r="F13" i="6"/>
  <c r="F16" i="6"/>
  <c r="F14" i="6"/>
  <c r="F15" i="6"/>
  <c r="F5" i="6"/>
  <c r="E16" i="6"/>
  <c r="E13" i="6"/>
  <c r="E9" i="6"/>
  <c r="E5" i="6"/>
  <c r="F17" i="6"/>
  <c r="F9" i="6"/>
  <c r="E14" i="6"/>
  <c r="E15" i="6"/>
  <c r="E17" i="6"/>
  <c r="F16" i="5"/>
  <c r="F14" i="5"/>
  <c r="E14" i="5"/>
  <c r="F13" i="5"/>
  <c r="F15" i="5"/>
  <c r="E13" i="5"/>
  <c r="E15" i="5"/>
  <c r="E9" i="5"/>
  <c r="E5" i="5"/>
  <c r="F5" i="5"/>
  <c r="E17" i="5"/>
  <c r="F17" i="5"/>
  <c r="F16" i="4"/>
  <c r="E16" i="4"/>
  <c r="E14" i="4"/>
  <c r="E13" i="4"/>
  <c r="E5" i="4"/>
  <c r="E9" i="4"/>
  <c r="F13" i="4"/>
  <c r="F14" i="4"/>
  <c r="E15" i="4"/>
  <c r="E17" i="4"/>
  <c r="F9" i="4"/>
  <c r="F5" i="4"/>
  <c r="E6" i="3"/>
  <c r="E16" i="3"/>
  <c r="F5" i="3"/>
  <c r="F16" i="3"/>
  <c r="F14" i="3"/>
  <c r="E14" i="3"/>
  <c r="F13" i="3"/>
  <c r="F15" i="3"/>
  <c r="F17" i="3"/>
  <c r="E13" i="3"/>
  <c r="F9" i="3"/>
  <c r="E9" i="3"/>
  <c r="E6" i="2"/>
  <c r="E5" i="2"/>
  <c r="E16" i="2"/>
  <c r="E14" i="2"/>
  <c r="E13" i="2"/>
  <c r="E15" i="2"/>
  <c r="E17" i="2"/>
  <c r="E16" i="1"/>
  <c r="F16" i="2"/>
  <c r="F14" i="2"/>
  <c r="F13" i="2"/>
  <c r="F9" i="2"/>
  <c r="E9" i="2"/>
  <c r="F5" i="2"/>
  <c r="E6" i="1"/>
  <c r="E5" i="1"/>
  <c r="F16" i="1"/>
  <c r="F14" i="1"/>
  <c r="E14" i="1"/>
  <c r="F13" i="1"/>
  <c r="E13" i="1"/>
  <c r="E15" i="1"/>
  <c r="F9" i="1"/>
  <c r="E9" i="1"/>
  <c r="F5" i="1"/>
  <c r="F15" i="1"/>
  <c r="F17" i="1"/>
  <c r="F15" i="4"/>
  <c r="F17" i="4"/>
  <c r="E5" i="3"/>
  <c r="E15" i="3"/>
  <c r="E17" i="3"/>
  <c r="E17" i="1"/>
  <c r="F15" i="2"/>
  <c r="F17" i="2"/>
  <c r="E13" i="7"/>
  <c r="F9" i="7"/>
  <c r="F12" i="7"/>
  <c r="F15" i="7"/>
  <c r="F17" i="7"/>
  <c r="F5" i="7"/>
  <c r="E5" i="7"/>
  <c r="E9" i="7"/>
  <c r="E12" i="7"/>
  <c r="E15" i="7"/>
  <c r="E17" i="7"/>
  <c r="F16" i="28"/>
  <c r="E18" i="35"/>
  <c r="F15" i="33"/>
  <c r="F18" i="33"/>
  <c r="E15" i="33"/>
  <c r="E18"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Oscar Jacobsen Sperre</author>
  </authors>
  <commentList>
    <comment ref="E6" authorId="0" shapeId="0" xr:uid="{1FB8964C-2431-4D3B-867E-4E6E20CB1B6B}">
      <text>
        <r>
          <rPr>
            <sz val="9"/>
            <color indexed="81"/>
            <rFont val="Tahoma"/>
            <family val="2"/>
          </rPr>
          <t>+20mn settlement of a managed services contract in Grameenphone
+31mn release of provisions, Asia HQ</t>
        </r>
      </text>
    </comment>
    <comment ref="F6" authorId="0" shapeId="0" xr:uid="{F59AEA5F-4537-4C0F-B122-C8915627D20D}">
      <text>
        <r>
          <rPr>
            <sz val="9"/>
            <color indexed="81"/>
            <rFont val="Tahoma"/>
            <family val="2"/>
          </rPr>
          <t>NOK -56 mn SR effect,
and -70 mn EBITDA in DNA for IFRS 15 treatment of gift vouchers</t>
        </r>
      </text>
    </comment>
    <comment ref="E8" authorId="0" shapeId="0" xr:uid="{39A2F43C-1F8E-47DF-B48F-350F38426D1F}">
      <text>
        <r>
          <rPr>
            <sz val="9"/>
            <color indexed="81"/>
            <rFont val="Tahoma"/>
            <family val="2"/>
          </rPr>
          <t xml:space="preserve">6,907mn gain on sale of 50% of Connexion
-295mn workforce reductions (Tn ASA, Norway, Denmark)
+25mn reversal of IT contract (Tn Denmark)
-20mn other impacts
</t>
        </r>
      </text>
    </comment>
    <comment ref="F8" authorId="0" shapeId="0" xr:uid="{85C079B7-F993-49D4-9C1D-36CDB4B50E78}">
      <text>
        <r>
          <rPr>
            <sz val="9"/>
            <color indexed="81"/>
            <rFont val="Tahoma"/>
            <family val="2"/>
          </rPr>
          <t>Includes workforce reduction of NOK 120m, mainly in Norway and Sweden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Oscar Jacobsen Sperre</author>
    <author>Sofie Traheim</author>
    <author>Frank Maaø</author>
  </authors>
  <commentList>
    <comment ref="E6" authorId="0" shapeId="0" xr:uid="{6415A70B-2146-4A36-A508-441440D693B6}">
      <text>
        <r>
          <rPr>
            <sz val="9"/>
            <color indexed="81"/>
            <rFont val="Tahoma"/>
            <family val="2"/>
          </rPr>
          <t>VAT news channels, Norway (135mn revenues, 27mn opex)</t>
        </r>
      </text>
    </comment>
    <comment ref="E8" authorId="0" shapeId="0" xr:uid="{243FDC8C-0CBF-493D-B830-669BC2CDE3D6}">
      <text>
        <r>
          <rPr>
            <sz val="9"/>
            <color indexed="81"/>
            <rFont val="Tahoma"/>
            <family val="2"/>
          </rPr>
          <t>-255mn workforce reductions in Norway
- 25mn workforce reductions in Sweden
-35mn scrapping of PPE &amp; IT
-32mn restructuring, external consultants and workforce reductions HQ-level
-10mn other impacts</t>
        </r>
      </text>
    </comment>
    <comment ref="F8" authorId="1" shapeId="0" xr:uid="{3A378D2E-4AA3-4D0E-9CEC-9E9D1A4A5E78}">
      <text>
        <r>
          <rPr>
            <sz val="9"/>
            <color indexed="81"/>
            <rFont val="Tahoma"/>
            <family val="2"/>
          </rPr>
          <t>+ 535mn Gains on Telenor Software Labs / Jottacloud merger  
+84mn reversal from tax provisions from previous sale of subsidiary
-64mn workforce reductions Norway
-16mn other</t>
        </r>
      </text>
    </comment>
    <comment ref="B45" authorId="2" shapeId="0" xr:uid="{50636074-AAF2-4F0F-9128-BA79E5AF0B1E}">
      <text>
        <r>
          <rPr>
            <b/>
            <sz val="9"/>
            <color indexed="81"/>
            <rFont val="Tahoma"/>
            <family val="2"/>
          </rPr>
          <t>Frank Maaø:</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Oscar Jacobsen Sperre</author>
    <author>Sofie Traheim</author>
    <author>Frank Maaø</author>
  </authors>
  <commentList>
    <comment ref="E6" authorId="0" shapeId="0" xr:uid="{507C3C0B-19D5-4600-980D-858DFD3F6226}">
      <text>
        <r>
          <rPr>
            <sz val="9"/>
            <color indexed="81"/>
            <rFont val="Tahoma"/>
            <family val="2"/>
          </rPr>
          <t xml:space="preserve"> +34 one-off settlement with supplier</t>
        </r>
      </text>
    </comment>
    <comment ref="F6" authorId="1" shapeId="0" xr:uid="{77115061-DC2A-46E2-AB68-25F097E1E0D2}">
      <text>
        <r>
          <rPr>
            <sz val="9"/>
            <color indexed="81"/>
            <rFont val="Tahoma"/>
            <family val="2"/>
          </rPr>
          <t>-100 Norway VAT news channels</t>
        </r>
      </text>
    </comment>
    <comment ref="E8" authorId="0" shapeId="0" xr:uid="{A40E6874-B2E9-42E7-8D03-3CA73C880F1E}">
      <text>
        <r>
          <rPr>
            <sz val="9"/>
            <color indexed="81"/>
            <rFont val="Tahoma"/>
            <family val="2"/>
          </rPr>
          <t>-31 Norway workforce reductions
-36 Sweden workforce reductions
-21 Scrapping of IT systems in Sweden
-90 Restructuring at Singapore office
-30 others (net)</t>
        </r>
      </text>
    </comment>
    <comment ref="F8" authorId="1" shapeId="0" xr:uid="{AB7E0C8C-B735-4F96-A9DE-D8FC8BE9354B}">
      <text>
        <r>
          <rPr>
            <sz val="9"/>
            <color indexed="81"/>
            <rFont val="Tahoma"/>
            <family val="2"/>
          </rPr>
          <t xml:space="preserve">-61 Norway workforce reductions
-50 Norway fine emergency number malfunction
-45 Sweden workforce red. 
</t>
        </r>
      </text>
    </comment>
    <comment ref="B45" authorId="2" shapeId="0" xr:uid="{9C5C748A-024C-4A09-96E3-39C77F524205}">
      <text>
        <r>
          <rPr>
            <b/>
            <sz val="9"/>
            <color indexed="81"/>
            <rFont val="Tahoma"/>
            <family val="2"/>
          </rPr>
          <t>Frank Maaø:</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Oscar Jacobsen Sperre</author>
    <author>Kristin Dreyer Hysing</author>
    <author>Frank Maaø</author>
  </authors>
  <commentList>
    <comment ref="E6" authorId="0" shapeId="0" xr:uid="{BF3B9F36-7952-4D38-B8A8-CBF54E2FDA90}">
      <text>
        <r>
          <rPr>
            <sz val="9"/>
            <color indexed="81"/>
            <rFont val="Tahoma"/>
            <family val="2"/>
          </rPr>
          <t>NOK 75m reversal of other opex elimination</t>
        </r>
      </text>
    </comment>
    <comment ref="F6" authorId="1" shapeId="0" xr:uid="{E200F854-B027-4491-91DF-7148BDD587B2}">
      <text>
        <r>
          <rPr>
            <sz val="9"/>
            <color indexed="81"/>
            <rFont val="Tahoma"/>
            <family val="2"/>
          </rPr>
          <t>• Norway (+43mn, VAT of which 36mn on Fixed SR)
• Sweden (+37mn, VAT)
• Bangladesh, GP (+90mn, Correction of revenues from previous years)</t>
        </r>
      </text>
    </comment>
    <comment ref="E8" authorId="0" shapeId="0" xr:uid="{059C894E-618D-435C-9AC8-4EEC3A2017BE}">
      <text>
        <r>
          <rPr>
            <sz val="9"/>
            <color indexed="81"/>
            <rFont val="Tahoma"/>
            <family val="2"/>
          </rPr>
          <t>Includes:
• NOK 269mn: 5G modernisation and retirement of IT systems in Norway
• NOK 94mn workforce reduction in Norway and Sweden
• NOK 29mn onerous contract in Denmark to replace billing system</t>
        </r>
      </text>
    </comment>
    <comment ref="F8" authorId="0" shapeId="0" xr:uid="{3DF54312-F78A-4568-868C-618B480D825A}">
      <text>
        <r>
          <rPr>
            <sz val="9"/>
            <color indexed="81"/>
            <rFont val="Tahoma"/>
            <family val="2"/>
          </rPr>
          <t>Includes:
• NOK 37mn scrapping of IT systems in Norway
• NOK 59mn workforce reductions in Norway</t>
        </r>
      </text>
    </comment>
    <comment ref="B44" authorId="2" shapeId="0" xr:uid="{02E783E4-EA8C-4CA1-9CBB-EDF8436FB655}">
      <text>
        <r>
          <rPr>
            <b/>
            <sz val="9"/>
            <color indexed="81"/>
            <rFont val="Tahoma"/>
            <family val="2"/>
          </rPr>
          <t>Frank Maaø:</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Oscar Jacobsen Sperre</author>
  </authors>
  <commentList>
    <comment ref="E6" authorId="0" shapeId="0" xr:uid="{1F2883A8-8544-4E1A-A332-C436BBF71058}">
      <text>
        <r>
          <rPr>
            <sz val="9"/>
            <color indexed="81"/>
            <rFont val="Tahoma"/>
            <family val="2"/>
          </rPr>
          <t>NOK -56 mn SR effect,
and -70 mn EBITDA in DNA</t>
        </r>
      </text>
    </comment>
    <comment ref="F6" authorId="0" shapeId="0" xr:uid="{4C67F30E-1B31-4176-AA9F-3959750A2EF6}">
      <text>
        <r>
          <rPr>
            <sz val="9"/>
            <color indexed="81"/>
            <rFont val="Tahoma"/>
            <family val="2"/>
          </rPr>
          <t>Net reversals in Asia (energy and other cost accruals)</t>
        </r>
      </text>
    </comment>
    <comment ref="E8" authorId="0" shapeId="0" xr:uid="{1759F1B7-26DD-434B-B807-CF12A002AA2E}">
      <text>
        <r>
          <rPr>
            <sz val="9"/>
            <color indexed="81"/>
            <rFont val="Tahoma"/>
            <family val="2"/>
          </rPr>
          <t>Includes workforce reduction of NOK 120m, mainly in Norway and Sweden</t>
        </r>
      </text>
    </comment>
    <comment ref="F8" authorId="0" shapeId="0" xr:uid="{D27608B7-8EAF-4A68-9D54-958D3CA24287}">
      <text>
        <r>
          <rPr>
            <sz val="9"/>
            <color indexed="81"/>
            <rFont val="Tahoma"/>
            <family val="2"/>
          </rPr>
          <t>Norway: NOK -73m Norway (workforce reductions)
Sweden: NOK -37m (3G decommissioning)</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Oscar Jacobsen Sperre</author>
    <author>Sofie Traheim</author>
    <author>Frank Maaø</author>
  </authors>
  <commentList>
    <comment ref="E8" authorId="0" shapeId="0" xr:uid="{26195DF4-0E19-4B87-AEBC-7FF352AEEF9B}">
      <text>
        <r>
          <rPr>
            <sz val="9"/>
            <color indexed="81"/>
            <rFont val="Tahoma"/>
            <family val="2"/>
          </rPr>
          <t>Gains on Telenor Software Labs / Jottacloud merger (535m) 
Reversal from tax provisions from previous sale of subsidiary (84m). 
Workforce reductions Norway. (-64m)</t>
        </r>
      </text>
    </comment>
    <comment ref="F8" authorId="1" shapeId="0" xr:uid="{0CBC1111-5B0D-4940-B320-39623DFEBD70}">
      <text>
        <r>
          <rPr>
            <sz val="9"/>
            <color indexed="81"/>
            <rFont val="Tahoma"/>
            <family val="2"/>
          </rPr>
          <t xml:space="preserve"> Workforce reductions:
 (-141m Norway; -21m Finland) Losses on legacy scrapping (-36m Nordics) </t>
        </r>
      </text>
    </comment>
    <comment ref="F10" authorId="2" shapeId="0" xr:uid="{2E3021DA-2E11-4330-A028-EAB82BEEC491}">
      <text>
        <r>
          <rPr>
            <sz val="9"/>
            <color indexed="81"/>
            <rFont val="Tahoma"/>
            <family val="2"/>
          </rPr>
          <t>Note: This number contains a reversal of PPE depreciation in Sweden (+21m)</t>
        </r>
      </text>
    </comment>
    <comment ref="E17" authorId="0" shapeId="0" xr:uid="{C5F3F3AA-305C-4266-8BF8-C550F71B9BE6}">
      <text>
        <r>
          <rPr>
            <sz val="9"/>
            <color indexed="81"/>
            <rFont val="Tahoma"/>
            <family val="2"/>
          </rPr>
          <t>Catch-up of spectrum amortisation in Sweden (-63m)</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Sofie Traheim</author>
  </authors>
  <commentList>
    <comment ref="E6" authorId="0" shapeId="0" xr:uid="{258AAAA7-DE4D-4D34-B3FF-ED2030257519}">
      <text>
        <r>
          <rPr>
            <sz val="9"/>
            <color indexed="81"/>
            <rFont val="Tahoma"/>
            <family val="2"/>
          </rPr>
          <t>-100 Norway VAT news channels
+30 Pakistan reversal of provisions</t>
        </r>
      </text>
    </comment>
    <comment ref="E8" authorId="0" shapeId="0" xr:uid="{2BBAC8A7-1CF2-449F-B54E-F7B58DF6CCB4}">
      <text>
        <r>
          <rPr>
            <sz val="9"/>
            <color indexed="81"/>
            <rFont val="Tahoma"/>
            <family val="2"/>
          </rPr>
          <t xml:space="preserve">-61 Norway workforce reductions
-50 Norway fine emergency number malfunction
-45 Sweden workforce red. 
</t>
        </r>
      </text>
    </comment>
    <comment ref="F8" authorId="0" shapeId="0" xr:uid="{7EEBA218-3568-4124-97C0-2946A27B1C2C}">
      <text>
        <r>
          <rPr>
            <sz val="9"/>
            <color indexed="81"/>
            <rFont val="Tahoma"/>
            <family val="2"/>
          </rPr>
          <t xml:space="preserve">1,357 Gain on Satellite disposal
50 Gain on Norkring Belgium
-41 Norway workforce reduction
- 51 Nordics: scrapping, incl 3G
-29 Amp Linx: workforce red.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Kristin Dreyer Hysing</author>
  </authors>
  <commentList>
    <comment ref="E6" authorId="0" shapeId="0" xr:uid="{D572B615-43D6-48EA-B32E-25A7653A0451}">
      <text>
        <r>
          <rPr>
            <sz val="9"/>
            <color indexed="81"/>
            <rFont val="Tahoma"/>
            <family val="2"/>
          </rPr>
          <t>Norway (+43, VAT of which 36 on Fixed SR)
Sweden (+37, VAT)
Bangladesh, GP (+90, Correction of revenues from previous years)</t>
        </r>
      </text>
    </comment>
    <comment ref="F6" authorId="0" shapeId="0" xr:uid="{37871690-D501-423A-8F30-4FC6C68528F0}">
      <text>
        <r>
          <rPr>
            <sz val="9"/>
            <color indexed="81"/>
            <rFont val="Tahoma"/>
            <family val="2"/>
          </rPr>
          <t xml:space="preserve">Sweden (+39 SR item) 
Norway (-22, SWAP)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Sofie Traheim</author>
  </authors>
  <commentList>
    <comment ref="E6" authorId="0" shapeId="0" xr:uid="{6598FC90-7FD6-4F69-8FA0-C484BB0A6D3E}">
      <text>
        <r>
          <rPr>
            <sz val="9"/>
            <color indexed="81"/>
            <rFont val="Tahoma"/>
            <family val="2"/>
          </rPr>
          <t>Net reversals in Asia (energy and other cost accruals)</t>
        </r>
      </text>
    </comment>
    <comment ref="F6" authorId="0" shapeId="0" xr:uid="{5466F49A-3DEA-48C5-86B9-4F88B6250AB3}">
      <text>
        <r>
          <rPr>
            <sz val="9"/>
            <color indexed="81"/>
            <rFont val="Tahoma"/>
            <family val="2"/>
          </rPr>
          <t>Grameenphone</t>
        </r>
      </text>
    </comment>
    <comment ref="E8" authorId="0" shapeId="0" xr:uid="{328606B9-34AF-45F3-AA9D-1514D7D67570}">
      <text>
        <r>
          <rPr>
            <sz val="9"/>
            <color indexed="81"/>
            <rFont val="Tahoma"/>
            <family val="2"/>
          </rPr>
          <t>Norway: NOK -73m Norway (workforce reductions)
Sweden: NOK -37m (3G decommissioning)</t>
        </r>
      </text>
    </comment>
    <comment ref="F8" authorId="0" shapeId="0" xr:uid="{59737381-37F2-4CE4-849F-AB798C96C495}">
      <text>
        <r>
          <rPr>
            <sz val="9"/>
            <color indexed="81"/>
            <rFont val="Tahoma"/>
            <family val="2"/>
          </rPr>
          <t>Norway (-106m)</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Hysing Kristin Dreyer</author>
    <author>Sofie Traheim</author>
    <author>Frank Maaø</author>
  </authors>
  <commentList>
    <comment ref="F6" authorId="0" shapeId="0" xr:uid="{C8C5B19F-45BD-4633-A0D5-9D62C03C962F}">
      <text>
        <r>
          <rPr>
            <sz val="9"/>
            <color indexed="81"/>
            <rFont val="Tahoma"/>
            <family val="2"/>
          </rPr>
          <t>Bangladesh (-41)</t>
        </r>
      </text>
    </comment>
    <comment ref="E8" authorId="1" shapeId="0" xr:uid="{BF2B1A2F-8B83-461B-8A35-FE54D3CEC21B}">
      <text>
        <r>
          <rPr>
            <sz val="9"/>
            <color indexed="81"/>
            <rFont val="Tahoma"/>
            <family val="2"/>
          </rPr>
          <t xml:space="preserve"> Workforce reductions:
 (-141m Norway; -21m Finland) Losses on legacy scrapping (-36m Nordics) </t>
        </r>
      </text>
    </comment>
    <comment ref="F8" authorId="0" shapeId="0" xr:uid="{EFE76848-69B3-4CF5-940D-B5D5A1BEA140}">
      <text>
        <r>
          <rPr>
            <sz val="9"/>
            <color indexed="81"/>
            <rFont val="Tahoma"/>
            <family val="2"/>
          </rPr>
          <t>Business disposal (-72m) Norway (-75)</t>
        </r>
      </text>
    </comment>
    <comment ref="E10" authorId="2" shapeId="0" xr:uid="{2951D294-740A-4027-A843-6F26942AF3FD}">
      <text>
        <r>
          <rPr>
            <sz val="9"/>
            <color indexed="81"/>
            <rFont val="Tahoma"/>
            <family val="2"/>
          </rPr>
          <t>Note: This number contains a reversal of PPE depreciation in Sweden (+21m)</t>
        </r>
      </text>
    </comment>
    <comment ref="F17" authorId="0" shapeId="0" xr:uid="{8C7619A2-BCF8-49EA-B53E-A77860F3D258}">
      <text>
        <r>
          <rPr>
            <sz val="9"/>
            <color indexed="81"/>
            <rFont val="Tahoma"/>
            <family val="2"/>
          </rPr>
          <t>Bangladesh (-34)</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Marianne Moe</author>
    <author>Sofie Traheim</author>
  </authors>
  <commentList>
    <comment ref="F6" authorId="0" shapeId="0" xr:uid="{ED5FD26B-E3FC-4AFB-A393-91E2A7FF0116}">
      <text>
        <r>
          <rPr>
            <sz val="9"/>
            <color indexed="81"/>
            <rFont val="Arial"/>
            <family val="2"/>
          </rPr>
          <t xml:space="preserve">Denmark (-66m)
</t>
        </r>
      </text>
    </comment>
    <comment ref="E8" authorId="1" shapeId="0" xr:uid="{304E80BC-2DDC-4AE0-B673-21E74911AB32}">
      <text>
        <r>
          <rPr>
            <sz val="9"/>
            <color indexed="81"/>
            <rFont val="Tahoma"/>
            <family val="2"/>
          </rPr>
          <t xml:space="preserve">1,357 Gain on Satellite disposal
50 Gain on Norkring Belgium
-41 Norway workforce red.
- 51 Nordics: scrapping, incl 3G
-29 Amp Linx: workforce red. </t>
        </r>
      </text>
    </comment>
    <comment ref="F8" authorId="0" shapeId="0" xr:uid="{414D44E9-6926-42E9-9BA1-377DADCB6C73}">
      <text>
        <r>
          <rPr>
            <sz val="9"/>
            <color indexed="81"/>
            <rFont val="Arial"/>
            <family val="2"/>
          </rPr>
          <t>Norway (-153m)</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Kristin Dreyer Hysing</author>
    <author>Marianne Moe</author>
  </authors>
  <commentList>
    <comment ref="E6" authorId="0" shapeId="0" xr:uid="{867AD8FE-C6E4-4089-B841-139D5AB509C0}">
      <text>
        <r>
          <rPr>
            <sz val="9"/>
            <color indexed="81"/>
            <rFont val="Tahoma"/>
            <family val="2"/>
          </rPr>
          <t xml:space="preserve">Sweden (+39 on SR) 
Norway (-22, SWAP)
</t>
        </r>
      </text>
    </comment>
    <comment ref="F6" authorId="1" shapeId="0" xr:uid="{682D3569-182B-4071-837F-D7EECE14E124}">
      <text>
        <r>
          <rPr>
            <sz val="9"/>
            <color indexed="81"/>
            <rFont val="Arial"/>
            <family val="2"/>
          </rPr>
          <t xml:space="preserve">Bangladesh (-57m), Other Units (-80m)
Norway, (+52, SWAP - updated for consistency) 
</t>
        </r>
      </text>
    </comment>
    <comment ref="F8" authorId="1" shapeId="0" xr:uid="{501A0E2C-9683-4034-8EC4-BBBF7BBA93B9}">
      <text>
        <r>
          <rPr>
            <sz val="9"/>
            <color indexed="81"/>
            <rFont val="Arial"/>
            <family val="2"/>
          </rPr>
          <t>Norway (-92m),  Bangladesh (-88m), Other units (-108m)</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Kristin Dreyer Hysing</author>
    <author>Marianne Moe</author>
  </authors>
  <commentList>
    <comment ref="E6" authorId="0" shapeId="0" xr:uid="{8E1CBB06-9232-46A3-89B2-6CB3E416B0B1}">
      <text>
        <r>
          <rPr>
            <sz val="11"/>
            <color theme="1"/>
            <rFont val="Calibri"/>
            <family val="2"/>
            <scheme val="minor"/>
          </rPr>
          <t>Bangladesh (opex, -33)</t>
        </r>
      </text>
    </comment>
    <comment ref="F6" authorId="1" shapeId="0" xr:uid="{8B60C4D2-7E8F-4248-81FB-AFAFEAC6F7E4}">
      <text>
        <r>
          <rPr>
            <sz val="9"/>
            <color indexed="81"/>
            <rFont val="Arial"/>
            <family val="2"/>
          </rPr>
          <t>Pakistan (+611)</t>
        </r>
      </text>
    </comment>
    <comment ref="E8" authorId="0" shapeId="0" xr:uid="{E9B2B375-90DA-4447-B3D6-82A4F51B665E}">
      <text>
        <r>
          <rPr>
            <sz val="9"/>
            <color indexed="81"/>
            <rFont val="Tahoma"/>
            <family val="2"/>
          </rPr>
          <t>Norway (-106)</t>
        </r>
      </text>
    </comment>
    <comment ref="F8" authorId="1" shapeId="0" xr:uid="{14701101-DF78-40B9-A084-B6836DD03207}">
      <text>
        <r>
          <rPr>
            <sz val="11"/>
            <color theme="1"/>
            <rFont val="Calibri"/>
            <family val="2"/>
            <scheme val="minor"/>
          </rPr>
          <t>Norway (-96m), Bangladesh (-31m)</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Hysing Kristin Dreyer</author>
    <author>Marianne Moe</author>
  </authors>
  <commentList>
    <comment ref="E6" authorId="0" shapeId="0" xr:uid="{EC74DF27-7A65-4BD6-8999-DD55BB1D14DE}">
      <text>
        <r>
          <rPr>
            <sz val="9"/>
            <color indexed="81"/>
            <rFont val="Tahoma"/>
            <family val="2"/>
          </rPr>
          <t>Bangladesh (-41)</t>
        </r>
      </text>
    </comment>
    <comment ref="F6" authorId="1" shapeId="0" xr:uid="{0D8AA80B-CDE5-4C44-A9EA-0D5C07E1458E}">
      <text>
        <r>
          <rPr>
            <sz val="9"/>
            <color indexed="81"/>
            <rFont val="Arial"/>
            <family val="2"/>
          </rPr>
          <t xml:space="preserve">Other Units (+165m) Norway (+145m), </t>
        </r>
      </text>
    </comment>
    <comment ref="E8" authorId="0" shapeId="0" xr:uid="{65A5E967-1C96-4728-AB71-06A15B199997}">
      <text>
        <r>
          <rPr>
            <sz val="9"/>
            <color indexed="81"/>
            <rFont val="Tahoma"/>
            <family val="2"/>
          </rPr>
          <t>Business disposal (-72m) Norway (-75)</t>
        </r>
      </text>
    </comment>
    <comment ref="F8" authorId="1" shapeId="0" xr:uid="{F61AC115-4A8F-4725-A059-57CA042C051B}">
      <text>
        <r>
          <rPr>
            <sz val="9"/>
            <color indexed="81"/>
            <rFont val="Arial"/>
            <family val="2"/>
          </rPr>
          <t xml:space="preserve">Norway (-211m) </t>
        </r>
      </text>
    </comment>
    <comment ref="E17" authorId="0" shapeId="0" xr:uid="{A1DB0FDD-33A6-4FCE-BAA5-725364B5F7AF}">
      <text>
        <r>
          <rPr>
            <sz val="9"/>
            <color indexed="81"/>
            <rFont val="Tahoma"/>
            <family val="2"/>
          </rPr>
          <t>Bangladesh (-34)</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E7" authorId="0" shapeId="0" xr:uid="{368DA72B-4D28-4D78-817A-AA9ADA52062F}">
      <text>
        <r>
          <rPr>
            <sz val="9"/>
            <color indexed="81"/>
            <rFont val="Arial"/>
            <family val="2"/>
          </rPr>
          <t>Denmark (-66m)</t>
        </r>
      </text>
    </comment>
    <comment ref="F7" authorId="0" shapeId="0" xr:uid="{AEFE135D-2698-40CE-B243-CA572981FE10}">
      <text>
        <r>
          <rPr>
            <sz val="9"/>
            <color indexed="81"/>
            <rFont val="Arial"/>
            <family val="2"/>
          </rPr>
          <t>Bangladesh (23m)</t>
        </r>
      </text>
    </comment>
    <comment ref="E9" authorId="0" shapeId="0" xr:uid="{A2AA6F41-F205-4A92-988B-D59CA7646AC7}">
      <text>
        <r>
          <rPr>
            <sz val="9"/>
            <color indexed="81"/>
            <rFont val="Arial"/>
            <family val="2"/>
          </rPr>
          <t>Norway (-153m)</t>
        </r>
      </text>
    </comment>
    <comment ref="F9" authorId="0" shapeId="0" xr:uid="{3F237036-60C6-41A0-AAF1-2F33BF82E0DA}">
      <text>
        <r>
          <rPr>
            <sz val="9"/>
            <color indexed="81"/>
            <rFont val="Arial"/>
            <family val="2"/>
          </rPr>
          <t>Sweden (1715m),  Bangladesh (-111m)</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E6" authorId="0" shapeId="0" xr:uid="{6EDE7123-0840-4CEF-9043-886D2FCCFFA8}">
      <text>
        <r>
          <rPr>
            <sz val="9"/>
            <color indexed="81"/>
            <rFont val="Arial"/>
            <family val="2"/>
          </rPr>
          <t>Bangladesh (-57m), Other Units (-80m)</t>
        </r>
      </text>
    </comment>
    <comment ref="F6" authorId="0" shapeId="0" xr:uid="{CBCD5329-76A3-48DC-880D-BB884A8BE586}">
      <text>
        <r>
          <rPr>
            <sz val="9"/>
            <color indexed="81"/>
            <rFont val="Arial"/>
            <family val="2"/>
          </rPr>
          <t>Norway (45m)</t>
        </r>
      </text>
    </comment>
    <comment ref="E8" authorId="0" shapeId="0" xr:uid="{82B2E51B-5780-4741-B188-1B652BA6F438}">
      <text>
        <r>
          <rPr>
            <sz val="9"/>
            <color indexed="81"/>
            <rFont val="Arial"/>
            <family val="2"/>
          </rPr>
          <t>Norway (-92m),  Bangladesh (-88m), Other units (-108m)</t>
        </r>
      </text>
    </comment>
    <comment ref="F8" authorId="0" shapeId="0" xr:uid="{ADBAF3CC-FBF9-40DE-916A-E51BB07426CE}">
      <text>
        <r>
          <rPr>
            <sz val="9"/>
            <color indexed="81"/>
            <rFont val="Arial"/>
            <family val="2"/>
          </rPr>
          <t>Norway (-934m),  Bangladesh (-140m), Thailand (-103m)</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E6" authorId="0" shapeId="0" xr:uid="{6CAA76AF-8E4D-4065-8E7F-BF25DEF3C9E2}">
      <text>
        <r>
          <rPr>
            <sz val="9"/>
            <color indexed="81"/>
            <rFont val="Arial"/>
            <family val="2"/>
          </rPr>
          <t>Pakistan (+611)</t>
        </r>
      </text>
    </comment>
    <comment ref="F6" authorId="0" shapeId="0" xr:uid="{C124292F-DB70-4EB4-8B64-CDEA2BC38543}">
      <text>
        <r>
          <rPr>
            <sz val="9"/>
            <color indexed="81"/>
            <rFont val="Arial"/>
            <family val="2"/>
          </rPr>
          <t>Finland (-84m), Malaysia (+54m), Thailand (+45m)</t>
        </r>
      </text>
    </comment>
    <comment ref="E8" authorId="0" shapeId="0" xr:uid="{C1D6B0EE-8F14-4908-B090-2108C92484F0}">
      <text>
        <r>
          <rPr>
            <sz val="11"/>
            <color theme="1"/>
            <rFont val="Calibri"/>
            <family val="2"/>
            <scheme val="minor"/>
          </rPr>
          <t>Norway (-96m), Bangladesh (-31m), Malaysia (-28m)</t>
        </r>
      </text>
    </comment>
    <comment ref="F8" authorId="0" shapeId="0" xr:uid="{FF96190B-E81A-4B42-9643-7F85116EDBF3}">
      <text>
        <r>
          <rPr>
            <sz val="11"/>
            <color theme="1"/>
            <rFont val="Calibri"/>
            <family val="2"/>
            <scheme val="minor"/>
          </rPr>
          <t>Bangladesh (-115m), Norway (-39m)</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E6" authorId="0" shapeId="0" xr:uid="{2DF214FD-E7CC-4F09-BAAD-E2C50D4C67B1}">
      <text>
        <r>
          <rPr>
            <sz val="9"/>
            <color indexed="81"/>
            <rFont val="Arial"/>
            <family val="2"/>
          </rPr>
          <t xml:space="preserve">Thailand (+280m), Other Units (+165m) Norway (+145m), </t>
        </r>
      </text>
    </comment>
    <comment ref="F6" authorId="0" shapeId="0" xr:uid="{090D9775-9647-418E-AAD3-91F53C45572B}">
      <text>
        <r>
          <rPr>
            <sz val="9"/>
            <color indexed="81"/>
            <rFont val="Arial"/>
            <family val="2"/>
          </rPr>
          <t>Thailand (+88m)</t>
        </r>
      </text>
    </comment>
    <comment ref="E8" authorId="0" shapeId="0" xr:uid="{7072542E-6B56-4F90-9E6C-DE241B3C8913}">
      <text>
        <r>
          <rPr>
            <sz val="9"/>
            <color indexed="81"/>
            <rFont val="Arial"/>
            <family val="2"/>
          </rPr>
          <t>Norway (-211m), Thailand (-176m)</t>
        </r>
      </text>
    </comment>
    <comment ref="F8" authorId="0" shapeId="0" xr:uid="{8F6BB6A0-AFC3-4E7E-BEA7-A70E80D377BE}">
      <text>
        <r>
          <rPr>
            <sz val="9"/>
            <color indexed="81"/>
            <rFont val="Arial"/>
            <family val="2"/>
          </rPr>
          <t>Other Units (-168m), Bangladesh (-50m), Norway (-43m)</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E6" authorId="0" shapeId="0" xr:uid="{519FAB2E-EEA0-4863-B304-EBD7E1A0D436}">
      <text>
        <r>
          <rPr>
            <sz val="9"/>
            <color indexed="81"/>
            <rFont val="Arial"/>
            <family val="2"/>
          </rPr>
          <t>Bangladesh (23m)</t>
        </r>
      </text>
    </comment>
    <comment ref="E8" authorId="0" shapeId="0" xr:uid="{22AB0EAD-6F60-4F63-A20A-1D2CB697F528}">
      <text>
        <r>
          <rPr>
            <sz val="9"/>
            <color indexed="81"/>
            <rFont val="Arial"/>
            <family val="2"/>
          </rPr>
          <t>Sweden (1715m),  Bangladesh (-111m)</t>
        </r>
      </text>
    </comment>
    <comment ref="F8" authorId="0" shapeId="0" xr:uid="{0F68373D-C987-4A27-BF3A-39C308D77D72}">
      <text>
        <r>
          <rPr>
            <sz val="9"/>
            <color indexed="81"/>
            <rFont val="Arial"/>
            <family val="2"/>
          </rPr>
          <t>Denmark (-49m), Thailand (-25m), Other Units (-21m)</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E6" authorId="0" shapeId="0" xr:uid="{57F891F0-EB47-4FD9-B298-5F5A0AE6B19A}">
      <text>
        <r>
          <rPr>
            <sz val="9"/>
            <color indexed="81"/>
            <rFont val="Arial"/>
            <family val="2"/>
          </rPr>
          <t>Norway (45m)</t>
        </r>
      </text>
    </comment>
    <comment ref="F6" authorId="0" shapeId="0" xr:uid="{085055FF-E3DC-4E51-B62C-D03B99944931}">
      <text>
        <r>
          <rPr>
            <sz val="9"/>
            <color indexed="81"/>
            <rFont val="Arial"/>
            <family val="2"/>
          </rPr>
          <t>Norway (76m), Thailand (-37m)</t>
        </r>
      </text>
    </comment>
    <comment ref="E8" authorId="0" shapeId="0" xr:uid="{6840FEC7-8CDE-4424-A5B7-719814D9FC95}">
      <text>
        <r>
          <rPr>
            <sz val="9"/>
            <color indexed="81"/>
            <rFont val="Arial"/>
            <family val="2"/>
          </rPr>
          <t>Norway (-934m),  Bangladesh (-140m), Thailand (-103m)</t>
        </r>
      </text>
    </comment>
    <comment ref="F8" authorId="0" shapeId="0" xr:uid="{30F8E3DD-1739-4AC1-82F0-630D250DACE4}">
      <text>
        <r>
          <rPr>
            <sz val="9"/>
            <color indexed="81"/>
            <rFont val="Arial"/>
            <family val="2"/>
          </rPr>
          <t>Other (194m), Thailand (-158m), Bangladesh (-60m)</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E6" authorId="0" shapeId="0" xr:uid="{4982A222-64C0-465F-AD0B-4076CEBA427F}">
      <text>
        <r>
          <rPr>
            <sz val="9"/>
            <color indexed="81"/>
            <rFont val="Arial"/>
            <family val="2"/>
          </rPr>
          <t>Finland (-84m), Malaysia (+54m), Thailand (+45m)</t>
        </r>
      </text>
    </comment>
    <comment ref="F6" authorId="0" shapeId="0" xr:uid="{C3906C69-03F8-488B-9FBC-9E4DD11AD334}">
      <text>
        <r>
          <rPr>
            <sz val="9"/>
            <color indexed="81"/>
            <rFont val="Arial"/>
            <family val="2"/>
          </rPr>
          <t>Sweden (+143m), Malaysia (+80m)</t>
        </r>
      </text>
    </comment>
    <comment ref="E8" authorId="0" shapeId="0" xr:uid="{CC709A92-CE17-40F2-8446-DFD9422FE13E}">
      <text>
        <r>
          <rPr>
            <sz val="11"/>
            <color theme="1"/>
            <rFont val="Calibri"/>
            <family val="2"/>
            <scheme val="minor"/>
          </rPr>
          <t>Bangladesh (-115m), Norway (-39m)</t>
        </r>
      </text>
    </comment>
    <comment ref="F8" authorId="0" shapeId="0" xr:uid="{32E1EF39-9B93-44AA-B471-5F924A0C2543}">
      <text>
        <r>
          <rPr>
            <sz val="9"/>
            <color indexed="81"/>
            <rFont val="Arial"/>
            <family val="2"/>
          </rPr>
          <t>Other Units (+782m)</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E6" authorId="0" shapeId="0" xr:uid="{6C9FD893-B5C5-441A-8C27-4B04EEC1F60B}">
      <text>
        <r>
          <rPr>
            <sz val="9"/>
            <color indexed="81"/>
            <rFont val="Arial"/>
            <family val="2"/>
          </rPr>
          <t>Pakistan (+23m, new run-rate), Thailand (+88m)</t>
        </r>
      </text>
    </comment>
    <comment ref="F6" authorId="0" shapeId="0" xr:uid="{D924655A-BC9D-49E5-816E-A69C6B9ADF1B}">
      <text>
        <r>
          <rPr>
            <sz val="9"/>
            <color indexed="81"/>
            <rFont val="Arial"/>
            <family val="2"/>
          </rPr>
          <t>Pakistan (+90m, of which 29m new run-rate), Malaysia (+46m)</t>
        </r>
      </text>
    </comment>
    <comment ref="E8" authorId="0" shapeId="0" xr:uid="{E48C7B1F-49BD-4252-B2BB-CA1C155FB34A}">
      <text>
        <r>
          <rPr>
            <sz val="9"/>
            <color indexed="81"/>
            <rFont val="Arial"/>
            <family val="2"/>
          </rPr>
          <t>Other Units (-168m), Bangladesh (-50m), Norway (-43m)</t>
        </r>
      </text>
    </comment>
    <comment ref="F8" authorId="0" shapeId="0" xr:uid="{CC9E741A-0BDB-41E6-AF18-FC58CC4CDBA7}">
      <text>
        <r>
          <rPr>
            <sz val="9"/>
            <color indexed="81"/>
            <rFont val="Arial"/>
            <family val="2"/>
          </rPr>
          <t>Norway (-1139m), Sweden (-69m), Bangladesh (-66m)</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E8" authorId="0" shapeId="0" xr:uid="{A6665373-5675-416B-8440-F7871B5ED039}">
      <text>
        <r>
          <rPr>
            <sz val="9"/>
            <color indexed="81"/>
            <rFont val="Arial"/>
            <family val="2"/>
          </rPr>
          <t>Denmark (-49m), Thailand (-25m), Other Units (-21m)</t>
        </r>
      </text>
    </comment>
    <comment ref="F8" authorId="0" shapeId="0" xr:uid="{58089739-CD4C-4E57-B65C-A38F3FE35E5A}">
      <text>
        <r>
          <rPr>
            <sz val="9"/>
            <color indexed="81"/>
            <rFont val="Arial"/>
            <family val="2"/>
          </rPr>
          <t>Norway (-234m), Sweden (-36m), Myanmar (-22m), Pakistan (-21m)</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E6" authorId="0" shapeId="0" xr:uid="{00000000-0006-0000-0000-000001000000}">
      <text>
        <r>
          <rPr>
            <sz val="9"/>
            <color indexed="81"/>
            <rFont val="Arial"/>
            <family val="2"/>
          </rPr>
          <t>Myanmar (84m), Norway (76m), Thailand (-37m)</t>
        </r>
      </text>
    </comment>
    <comment ref="F6" authorId="0" shapeId="0" xr:uid="{00000000-0006-0000-0000-000002000000}">
      <text>
        <r>
          <rPr>
            <sz val="9"/>
            <color indexed="81"/>
            <rFont val="Arial"/>
            <family val="2"/>
          </rPr>
          <t>Norway (56m), Malaysia (50m)</t>
        </r>
      </text>
    </comment>
    <comment ref="E8" authorId="0" shapeId="0" xr:uid="{00000000-0006-0000-0000-000003000000}">
      <text>
        <r>
          <rPr>
            <sz val="9"/>
            <color indexed="81"/>
            <rFont val="Arial"/>
            <family val="2"/>
          </rPr>
          <t xml:space="preserve">Other (+3,335m),  Myanmar (156m), Thailand (-199m),  Malaysia (-114m), Norway (-84m) </t>
        </r>
      </text>
    </comment>
    <comment ref="F8" authorId="0" shapeId="0" xr:uid="{00000000-0006-0000-0000-000004000000}">
      <text>
        <r>
          <rPr>
            <sz val="9"/>
            <color indexed="81"/>
            <rFont val="Arial"/>
            <family val="2"/>
          </rPr>
          <t>Other (194m), Thailand (-158m), Bangladesh (-60m)</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Marianne Moe</author>
    <author>Myrvold Øystein</author>
  </authors>
  <commentList>
    <comment ref="E6" authorId="0" shapeId="0" xr:uid="{00000000-0006-0000-0100-000001000000}">
      <text>
        <r>
          <rPr>
            <sz val="9"/>
            <color indexed="81"/>
            <rFont val="Arial"/>
            <family val="2"/>
          </rPr>
          <t>Sweden (+143m), Malaysia (+80m)</t>
        </r>
      </text>
    </comment>
    <comment ref="F6" authorId="1" shapeId="0" xr:uid="{00000000-0006-0000-0100-000002000000}">
      <text>
        <r>
          <rPr>
            <sz val="9"/>
            <color indexed="81"/>
            <rFont val="Tahoma"/>
            <family val="2"/>
          </rPr>
          <t>M&amp;A cost (-110m), Malaysia (+36m)</t>
        </r>
      </text>
    </comment>
    <comment ref="E8" authorId="0" shapeId="0" xr:uid="{00000000-0006-0000-0100-000003000000}">
      <text>
        <r>
          <rPr>
            <sz val="9"/>
            <color indexed="81"/>
            <rFont val="Arial"/>
            <family val="2"/>
          </rPr>
          <t>Other Units (+782m)</t>
        </r>
      </text>
    </comment>
    <comment ref="F8" authorId="0" shapeId="0" xr:uid="{00000000-0006-0000-0100-000004000000}">
      <text>
        <r>
          <rPr>
            <sz val="9"/>
            <color indexed="81"/>
            <rFont val="Arial"/>
            <family val="2"/>
          </rPr>
          <t>Myanmar (-51m), Norway (-28m), Sweden (-23m)</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Marianne Moe</author>
    <author>Myrvold Øystein</author>
  </authors>
  <commentList>
    <comment ref="E6" authorId="0" shapeId="0" xr:uid="{00000000-0006-0000-0200-000001000000}">
      <text>
        <r>
          <rPr>
            <sz val="9"/>
            <color indexed="81"/>
            <rFont val="Arial"/>
            <family val="2"/>
          </rPr>
          <t>Pakistan (+90m), Digi (+46m)</t>
        </r>
      </text>
    </comment>
    <comment ref="F6" authorId="1" shapeId="0" xr:uid="{00000000-0006-0000-0200-000002000000}">
      <text>
        <r>
          <rPr>
            <sz val="9"/>
            <color indexed="81"/>
            <rFont val="Tahoma"/>
            <family val="2"/>
          </rPr>
          <t>Bangladesh (-299m), Malaysia (+130m), Myanmar (+71m)</t>
        </r>
      </text>
    </comment>
    <comment ref="E8" authorId="0" shapeId="0" xr:uid="{00000000-0006-0000-0200-000003000000}">
      <text>
        <r>
          <rPr>
            <sz val="9"/>
            <color indexed="81"/>
            <rFont val="Arial"/>
            <family val="2"/>
          </rPr>
          <t>Norway (-1139m), Sweden (-69m), Bangladesh (-66m), Myanmar (-31m)</t>
        </r>
      </text>
    </comment>
    <comment ref="F8" authorId="0" shapeId="0" xr:uid="{00000000-0006-0000-0200-000004000000}">
      <text>
        <r>
          <rPr>
            <sz val="9"/>
            <color indexed="81"/>
            <rFont val="Arial"/>
            <family val="2"/>
          </rPr>
          <t>Other units (-176m), Norway (19m), Denmark (+102m)</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F6" authorId="0" shapeId="0" xr:uid="{00000000-0006-0000-0300-000001000000}">
      <text>
        <r>
          <rPr>
            <sz val="9"/>
            <color indexed="81"/>
            <rFont val="Arial"/>
            <family val="2"/>
          </rPr>
          <t>Digi (46)</t>
        </r>
      </text>
    </comment>
    <comment ref="E8" authorId="0" shapeId="0" xr:uid="{00000000-0006-0000-0300-000002000000}">
      <text>
        <r>
          <rPr>
            <sz val="9"/>
            <color indexed="81"/>
            <rFont val="Arial"/>
            <family val="2"/>
          </rPr>
          <t>Norway (-234), Sweden (-36), Myanmar (-22), Pakistan (-21)</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E6" authorId="0" shapeId="0" xr:uid="{00000000-0006-0000-0400-000001000000}">
      <text>
        <r>
          <rPr>
            <sz val="9"/>
            <color indexed="81"/>
            <rFont val="Arial"/>
            <family val="2"/>
          </rPr>
          <t>Norway (56m), Malaysia (50m)</t>
        </r>
      </text>
    </comment>
    <comment ref="E8" authorId="0" shapeId="0" xr:uid="{00000000-0006-0000-0400-000002000000}">
      <text>
        <r>
          <rPr>
            <sz val="9"/>
            <color indexed="81"/>
            <rFont val="Arial"/>
            <family val="2"/>
          </rPr>
          <t xml:space="preserve">Other (+216),  Thailand (-158m), Norway (-72m),  Bangladesh             (-62m), Sweden (-42m), </t>
        </r>
      </text>
    </comment>
    <comment ref="F8" authorId="0" shapeId="0" xr:uid="{00000000-0006-0000-0400-000003000000}">
      <text>
        <r>
          <rPr>
            <sz val="9"/>
            <color indexed="81"/>
            <rFont val="Arial"/>
            <family val="2"/>
          </rPr>
          <t>dtac (-2,142m), Norway (-123m), Other (-56m), GP (-47m)</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E6" authorId="0" shapeId="0" xr:uid="{00000000-0006-0000-0500-000001000000}">
      <text>
        <r>
          <rPr>
            <sz val="9"/>
            <color indexed="81"/>
            <rFont val="Arial"/>
            <family val="2"/>
          </rPr>
          <t>M&amp;A cost (-110), Myanmar (+98m), Malaysia (+36)</t>
        </r>
      </text>
    </comment>
    <comment ref="F6" authorId="0" shapeId="0" xr:uid="{00000000-0006-0000-0500-000002000000}">
      <text>
        <r>
          <rPr>
            <sz val="9"/>
            <color indexed="81"/>
            <rFont val="Arial"/>
            <family val="2"/>
          </rPr>
          <t>Reversal of provision Pakistan (+507m, of which 76m on revenues and 431m on cogs), Global Wholesale (+163m on revenues), dtac (+55m opex) and Grameenphone (+36m opex), Norway (-37m opex)</t>
        </r>
      </text>
    </comment>
    <comment ref="E8" authorId="0" shapeId="0" xr:uid="{00000000-0006-0000-0500-000003000000}">
      <text>
        <r>
          <rPr>
            <sz val="9"/>
            <color indexed="81"/>
            <rFont val="Arial"/>
            <family val="2"/>
          </rPr>
          <t>Broadcast (-39m),  Norway (-28m), Thailand (-24m), Sweden (-22m), Denmark (-21m)</t>
        </r>
      </text>
    </comment>
    <comment ref="F8" authorId="0" shapeId="0" xr:uid="{00000000-0006-0000-0500-000004000000}">
      <text>
        <r>
          <rPr>
            <sz val="9"/>
            <color indexed="81"/>
            <rFont val="Arial"/>
            <family val="2"/>
          </rPr>
          <t>Norway (-158m), Denmark (-32m), Sweden (-26m),Other units (-25m)</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E6" authorId="0" shapeId="0" xr:uid="{00000000-0006-0000-0600-000001000000}">
      <text>
        <r>
          <rPr>
            <sz val="9"/>
            <color indexed="81"/>
            <rFont val="Arial"/>
            <family val="2"/>
          </rPr>
          <t>Bangladesh (-299m), Malaysia (+130m), Myanmar (+71m)</t>
        </r>
      </text>
    </comment>
    <comment ref="E8" authorId="0" shapeId="0" xr:uid="{00000000-0006-0000-0600-000002000000}">
      <text>
        <r>
          <rPr>
            <sz val="9"/>
            <color indexed="81"/>
            <rFont val="Arial"/>
            <family val="2"/>
          </rPr>
          <t>Denmark (+225m), Other units (-161m)</t>
        </r>
      </text>
    </comment>
    <comment ref="F8" authorId="0" shapeId="0" xr:uid="{00000000-0006-0000-0600-000003000000}">
      <text>
        <r>
          <rPr>
            <sz val="9"/>
            <color indexed="81"/>
            <rFont val="Arial"/>
            <family val="2"/>
          </rPr>
          <t>Norway (-96m), Sweden (-47m), Denmark (-38m), Malaysia (-80m), Pakistan (-29m), Other units (-77m)</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Marianne Moe</author>
  </authors>
  <commentList>
    <comment ref="E6" authorId="0" shapeId="0" xr:uid="{00000000-0006-0000-0700-000001000000}">
      <text>
        <r>
          <rPr>
            <sz val="9"/>
            <color indexed="81"/>
            <rFont val="Arial"/>
            <family val="2"/>
          </rPr>
          <t>Digi (46m)</t>
        </r>
      </text>
    </comment>
    <comment ref="F6" authorId="0" shapeId="0" xr:uid="{00000000-0006-0000-0700-000002000000}">
      <text>
        <r>
          <rPr>
            <sz val="9"/>
            <color indexed="81"/>
            <rFont val="Arial"/>
            <family val="2"/>
          </rPr>
          <t>Grameenphone (-36m), dtac (-31m)</t>
        </r>
      </text>
    </comment>
    <comment ref="E8" authorId="0" shapeId="0" xr:uid="{00000000-0006-0000-0700-000003000000}">
      <text>
        <r>
          <rPr>
            <sz val="9"/>
            <color indexed="81"/>
            <rFont val="Arial"/>
            <family val="2"/>
          </rPr>
          <t>Norway (-75m), Bangladesh (-53m), Other units (+200m)</t>
        </r>
      </text>
    </comment>
    <comment ref="F8" authorId="0" shapeId="0" xr:uid="{00000000-0006-0000-0700-000004000000}">
      <text>
        <r>
          <rPr>
            <sz val="9"/>
            <color indexed="81"/>
            <rFont val="Arial"/>
            <family val="2"/>
          </rPr>
          <t>Norway( -141m), Other units (+67m)</t>
        </r>
      </text>
    </comment>
  </commentList>
</comments>
</file>

<file path=xl/sharedStrings.xml><?xml version="1.0" encoding="utf-8"?>
<sst xmlns="http://schemas.openxmlformats.org/spreadsheetml/2006/main" count="967" uniqueCount="233">
  <si>
    <t>(NOK million)</t>
  </si>
  <si>
    <t>Q1 25</t>
  </si>
  <si>
    <t>Q1 24</t>
  </si>
  <si>
    <t>EBITDA, "clean"</t>
  </si>
  <si>
    <t>Special items</t>
  </si>
  <si>
    <t xml:space="preserve">   Other income and expenses</t>
  </si>
  <si>
    <t>EBITDA, reported</t>
  </si>
  <si>
    <t xml:space="preserve">   D&amp;A</t>
  </si>
  <si>
    <t xml:space="preserve">   Impairments</t>
  </si>
  <si>
    <t>Operating profit, reported</t>
  </si>
  <si>
    <t xml:space="preserve">   Other income and expenses (as above)</t>
  </si>
  <si>
    <r>
      <t xml:space="preserve">   </t>
    </r>
    <r>
      <rPr>
        <sz val="10"/>
        <rFont val="Arial"/>
        <family val="2"/>
      </rPr>
      <t xml:space="preserve">Impairment losses (as above) </t>
    </r>
  </si>
  <si>
    <t>Operating profit, adjusted</t>
  </si>
  <si>
    <t xml:space="preserve">   Less: Special items (as above)</t>
  </si>
  <si>
    <t>Operating profit, "clean"</t>
  </si>
  <si>
    <t>For a more comprehensive reconciliation please see the analytical tool (excel file) and the quarterly report</t>
  </si>
  <si>
    <t>Outlook for 2025</t>
  </si>
  <si>
    <t>Nordic organic service revenue</t>
  </si>
  <si>
    <t>Low single-digit</t>
  </si>
  <si>
    <t>Nordic organic EBITDA* growth</t>
  </si>
  <si>
    <t>Mid single-digit</t>
  </si>
  <si>
    <t>Nordic capex/sales **</t>
  </si>
  <si>
    <t>Around 14%</t>
  </si>
  <si>
    <t>Group organic EBITDA* growth</t>
  </si>
  <si>
    <t>Low-to-mid single-digit</t>
  </si>
  <si>
    <t>Group FCF before M&amp;A</t>
  </si>
  <si>
    <t>Around NOK 13 bn</t>
  </si>
  <si>
    <t xml:space="preserve">    Note: Pakistan included. New spectrum and potential items relating to prior years’ activities (e.g. claims, late payments in Bangladesh, tax refunds) are not included in the outlook.</t>
  </si>
  <si>
    <t xml:space="preserve">   *)  EBITDA before other income and expenses</t>
  </si>
  <si>
    <t xml:space="preserve">   **) Capex excluding leases</t>
  </si>
  <si>
    <t xml:space="preserve">   </t>
  </si>
  <si>
    <t>Q4 24</t>
  </si>
  <si>
    <t>Q4 23</t>
  </si>
  <si>
    <t>EBITDA, before other income and expenses</t>
  </si>
  <si>
    <t xml:space="preserve">Telenor Q3 24 reconciliation </t>
  </si>
  <si>
    <t>Q3 24</t>
  </si>
  <si>
    <t>Outlook for 2024</t>
  </si>
  <si>
    <t>Nordic organic service revenue growth</t>
  </si>
  <si>
    <t>3-4% (previously: Low-to-mid single digit)</t>
  </si>
  <si>
    <t>Around 6% (previously: Mid-single digit)</t>
  </si>
  <si>
    <t>&lt;17% (previously: Around 17%)</t>
  </si>
  <si>
    <t>3-4% (previously: Mid-single-digit)</t>
  </si>
  <si>
    <t>Group FCF before M&amp;A***</t>
  </si>
  <si>
    <t>NOK 9.5 - 10.0 bn (previously: NOK 9 - 10bn)</t>
  </si>
  <si>
    <t xml:space="preserve">    Note: Satellite deconsolidated from January 2024. </t>
  </si>
  <si>
    <t xml:space="preserve">   **) Capex before leases</t>
  </si>
  <si>
    <t xml:space="preserve">Telenor Q2 24 reconciliation </t>
  </si>
  <si>
    <t>Q2 24</t>
  </si>
  <si>
    <t>Q2/23</t>
  </si>
  <si>
    <t xml:space="preserve">   Special items on EBITDA level (as above)</t>
  </si>
  <si>
    <t xml:space="preserve">   Special items on D&amp;A (as above)</t>
  </si>
  <si>
    <t>Low-to-mid single-digit (previously: Low-single-digit)</t>
  </si>
  <si>
    <t>Around 17%</t>
  </si>
  <si>
    <t>NOK 9-10 bn</t>
  </si>
  <si>
    <t xml:space="preserve">    ***) 2024 Outlook is based on year-end 2023 currencies, and includes Pakistan. New spectrum and potential items relating to prior years’ activities (e.g. claims, late payments in Bangladesh, tax refunds) are not included.</t>
  </si>
  <si>
    <t xml:space="preserve">Telenor Q124 reconciliation </t>
  </si>
  <si>
    <t>Q1 23</t>
  </si>
  <si>
    <t xml:space="preserve">   Special items (as above)</t>
  </si>
  <si>
    <t xml:space="preserve">Telenor Q423 reconciliation </t>
  </si>
  <si>
    <t>Q422</t>
  </si>
  <si>
    <t xml:space="preserve">Telenor Q323 reconciliation </t>
  </si>
  <si>
    <t>Q323</t>
  </si>
  <si>
    <t>Q322</t>
  </si>
  <si>
    <t xml:space="preserve">   Special items </t>
  </si>
  <si>
    <t>Outlook for Nordics 2023</t>
  </si>
  <si>
    <t>Organic service revenues</t>
  </si>
  <si>
    <t>Above 3% (previously: Low-to-mid single-digit growth)</t>
  </si>
  <si>
    <t>EBITDA*</t>
  </si>
  <si>
    <t>3%-4% (previously: Low-to-mid single-digit growth)</t>
  </si>
  <si>
    <t>Capex*/ sales</t>
  </si>
  <si>
    <t xml:space="preserve">   *)  EBITDA before other items and capex excl leases</t>
  </si>
  <si>
    <t xml:space="preserve">Telenor Q223 reconciliation </t>
  </si>
  <si>
    <t>Q2/22</t>
  </si>
  <si>
    <t xml:space="preserve">   Special items (leading to 'EBITDA Clean')</t>
  </si>
  <si>
    <t xml:space="preserve">   Special items on D&amp;A</t>
  </si>
  <si>
    <t>Low-to-mid single-digit growth</t>
  </si>
  <si>
    <t xml:space="preserve"> </t>
  </si>
  <si>
    <t xml:space="preserve">Telenor Q123 reconciliation </t>
  </si>
  <si>
    <t>Q123</t>
  </si>
  <si>
    <t>Q122</t>
  </si>
  <si>
    <t>Low to mid single digit growth</t>
  </si>
  <si>
    <t xml:space="preserve">Telenor Q422 reconciliation </t>
  </si>
  <si>
    <t>Q421</t>
  </si>
  <si>
    <t xml:space="preserve">   *)  EBITDA before other items and capex excl licence fees</t>
  </si>
  <si>
    <t xml:space="preserve">Telenor Q322 reconciliation </t>
  </si>
  <si>
    <t>Q321</t>
  </si>
  <si>
    <t>Outlook for 2022</t>
  </si>
  <si>
    <t>Organic service revenues*</t>
  </si>
  <si>
    <t>Low single digit growth</t>
  </si>
  <si>
    <t>EBITDA**</t>
  </si>
  <si>
    <t>Around 2021 level</t>
  </si>
  <si>
    <t>Capex**/ sales</t>
  </si>
  <si>
    <t>16-17%</t>
  </si>
  <si>
    <r>
      <t xml:space="preserve">   *)  NEW DEFINITION: </t>
    </r>
    <r>
      <rPr>
        <b/>
        <i/>
        <sz val="8"/>
        <rFont val="Arial"/>
        <family val="2"/>
      </rPr>
      <t>Service revenues</t>
    </r>
    <r>
      <rPr>
        <i/>
        <sz val="8"/>
        <rFont val="Arial"/>
        <family val="2"/>
      </rPr>
      <t xml:space="preserve"> consist of mobile and fixed subscription and traffic revenue and value-added services not included in subscription and traffic revenues, such as IoT, maritime communication and other end user related services in mobile and fixed operations. Please refer to details on slide 22 in the Q4 2021 presentation</t>
    </r>
  </si>
  <si>
    <t xml:space="preserve">   **)  EBITDA before other items and capex excl. licence fees</t>
  </si>
  <si>
    <t xml:space="preserve">Telenor Q222 reconciliation </t>
  </si>
  <si>
    <t>Q222</t>
  </si>
  <si>
    <t>Q221</t>
  </si>
  <si>
    <t xml:space="preserve">   **)  EBITDA before other items and capex excl licence fees</t>
  </si>
  <si>
    <t xml:space="preserve">Telenor Q122 reconciliation </t>
  </si>
  <si>
    <t>Q121</t>
  </si>
  <si>
    <t>Around 2021 level or slightly higher</t>
  </si>
  <si>
    <t xml:space="preserve">Telenor Q421 reconciliation </t>
  </si>
  <si>
    <t>Q420</t>
  </si>
  <si>
    <t xml:space="preserve">Telenor Q321 reconciliation </t>
  </si>
  <si>
    <t>Q320</t>
  </si>
  <si>
    <t>Outlook for 2021</t>
  </si>
  <si>
    <t xml:space="preserve">           Subs. &amp; traffic revenues</t>
  </si>
  <si>
    <t>0-1%</t>
  </si>
  <si>
    <t xml:space="preserve">           EBITDA* </t>
  </si>
  <si>
    <t>0-2%</t>
  </si>
  <si>
    <t xml:space="preserve">           Capex*/ sales</t>
  </si>
  <si>
    <t>15-16%</t>
  </si>
  <si>
    <t xml:space="preserve">Telenor Q221 reconciliation </t>
  </si>
  <si>
    <t>Q220</t>
  </si>
  <si>
    <t xml:space="preserve">Telenor Q121 reconciliation </t>
  </si>
  <si>
    <t>Q120</t>
  </si>
  <si>
    <t>Outlook for 2021 excluding Myanmar</t>
  </si>
  <si>
    <t>Around 2020 level</t>
  </si>
  <si>
    <t xml:space="preserve">Telenor Q420 reconciliation </t>
  </si>
  <si>
    <t>Q419</t>
  </si>
  <si>
    <t xml:space="preserve">Telenor Q320 reconciliation </t>
  </si>
  <si>
    <t>Q319</t>
  </si>
  <si>
    <t>Outlook for 2020 updated</t>
  </si>
  <si>
    <t>Q3 2020 YTD</t>
  </si>
  <si>
    <t xml:space="preserve">           Organic Subs. &amp; traffic revenues</t>
  </si>
  <si>
    <t>Low single digit decline</t>
  </si>
  <si>
    <t xml:space="preserve">           Organic EBITDA </t>
  </si>
  <si>
    <t>Low single digit growth (updated)</t>
  </si>
  <si>
    <t>+2.4 %</t>
  </si>
  <si>
    <t xml:space="preserve">           Capex / Sales</t>
  </si>
  <si>
    <t>Around 13%</t>
  </si>
  <si>
    <t xml:space="preserve"> EBITDA before other items and capex excl spectrum licences and leases</t>
  </si>
  <si>
    <r>
      <t xml:space="preserve"> Organic comparables in fixed currency, adj. for acquisitions and disposals.</t>
    </r>
    <r>
      <rPr>
        <sz val="9"/>
        <color rgb="FFFF0000"/>
        <rFont val="Arial"/>
        <family val="2"/>
      </rPr>
      <t xml:space="preserve">
</t>
    </r>
    <r>
      <rPr>
        <sz val="9"/>
        <rFont val="Arial"/>
        <family val="2"/>
      </rPr>
      <t xml:space="preserve">
</t>
    </r>
  </si>
  <si>
    <t xml:space="preserve">Telenor Q220 reconciliation </t>
  </si>
  <si>
    <t>Q219</t>
  </si>
  <si>
    <t>Q2 2020 YTD</t>
  </si>
  <si>
    <t>Low single digit percent decline</t>
  </si>
  <si>
    <t>Stable organic EBITDA</t>
  </si>
  <si>
    <t>+1.8 %</t>
  </si>
  <si>
    <t xml:space="preserve">Telenor Q120 reconciliation </t>
  </si>
  <si>
    <t>Q119</t>
  </si>
  <si>
    <t>Outlook for 2020</t>
  </si>
  <si>
    <t>2020 revised</t>
  </si>
  <si>
    <t>Q1 2020 actual</t>
  </si>
  <si>
    <t xml:space="preserve">           Organic growth in  subs. &amp; traffic revenues</t>
  </si>
  <si>
    <t>Lower than previous outlook</t>
  </si>
  <si>
    <t xml:space="preserve">           Organic EBITDA growth</t>
  </si>
  <si>
    <t>Lower growth than previous outlook</t>
  </si>
  <si>
    <t>Capex / Sales</t>
  </si>
  <si>
    <t xml:space="preserve">Telenor Q419 reconciliation </t>
  </si>
  <si>
    <t>Q418</t>
  </si>
  <si>
    <t xml:space="preserve">           Organic EBITDA* growth</t>
  </si>
  <si>
    <t>2-4%</t>
  </si>
  <si>
    <t>around 15%</t>
  </si>
  <si>
    <t xml:space="preserve">Telenor Q319 reconciliation </t>
  </si>
  <si>
    <t>Q318</t>
  </si>
  <si>
    <t>Outlook for 2019 updated</t>
  </si>
  <si>
    <t>2019 (excl. DNA)</t>
  </si>
  <si>
    <t>Q3 2019 YTD</t>
  </si>
  <si>
    <t>Around 2018 level</t>
  </si>
  <si>
    <t>-4.4%**</t>
  </si>
  <si>
    <t xml:space="preserve">           Capex (NOK)</t>
  </si>
  <si>
    <t>16-17 bn</t>
  </si>
  <si>
    <t>11.9 bn</t>
  </si>
  <si>
    <t xml:space="preserve">   **)  Excluding M&amp;A cost related to DNA and Axiata</t>
  </si>
  <si>
    <t>Other things:</t>
  </si>
  <si>
    <t xml:space="preserve"> - In Pakistan, Service Charge which was re-introduced in relation to the re-introduction of telecom taxes was disallowed by the court in July.</t>
  </si>
  <si>
    <t xml:space="preserve"> - Project cost related to M&amp;A amounted to NOK 110 million in the quarter.</t>
  </si>
  <si>
    <t xml:space="preserve">Telenor Q219 reconciliation </t>
  </si>
  <si>
    <t>Q218</t>
  </si>
  <si>
    <t>Q2 2019 YTD</t>
  </si>
  <si>
    <t>8.1 bn</t>
  </si>
  <si>
    <t xml:space="preserve"> - In Pakistan, Service Charge which was re-introduced in relation to the re-introduction of telecom taxes was disallowed by the court in July. A reversal of NOK 116 is included in the Q2 numbers. </t>
  </si>
  <si>
    <t xml:space="preserve"> - Project cost related to M&amp;A and copper decommissioning amounts to around NOK 100 million in the quarter.</t>
  </si>
  <si>
    <t xml:space="preserve">Telenor Q119 reconciliation </t>
  </si>
  <si>
    <t>Q118</t>
  </si>
  <si>
    <t>Outlook for 2019 maintained</t>
  </si>
  <si>
    <t>Q1 2019</t>
  </si>
  <si>
    <t>(excluding dtac)</t>
  </si>
  <si>
    <t>1-3%</t>
  </si>
  <si>
    <t>4.0 bn</t>
  </si>
  <si>
    <t>(including dtac)</t>
  </si>
  <si>
    <t xml:space="preserve">   *)  Adjusted EBITDA, previously referred to as EBITDA before other income and expenses</t>
  </si>
  <si>
    <t xml:space="preserve">Telenor Q2 25 reconciliation </t>
  </si>
  <si>
    <t>Q2 25</t>
  </si>
  <si>
    <t>High single-digit (Previously: mid single-digit)</t>
  </si>
  <si>
    <t>Mid single-digit (Previously: Low-to-mid single digit)</t>
  </si>
  <si>
    <t xml:space="preserve">Telenor Q1 25 reconciliation </t>
  </si>
  <si>
    <t>EBITDA, adjusted (*)</t>
  </si>
  <si>
    <t xml:space="preserve">   ***) Pakistan included. New spectrum and potential items relating to prior years’ activities (e.g. claims, late payments in Bangladesh, tax refunds) are not included in the outlook.</t>
  </si>
  <si>
    <t xml:space="preserve">Telenor Q4 24 reconciliation </t>
  </si>
  <si>
    <t>Q3 23</t>
  </si>
  <si>
    <t>Q2 23</t>
  </si>
  <si>
    <t xml:space="preserve">   ***) 2024 FCF Outlook is based on YTD actuals and end-September FX rates for the remainder of the year 2024 (previously: year-end 2023 currencies), and includes Pakistan. 
     New spectrum and potential items relating to prior years’ activities (e.g. claims, late payments in Bangladesh, tax refunds) are not included.</t>
  </si>
  <si>
    <t>Q3 25</t>
  </si>
  <si>
    <t>8-9% (Previously: High single-digit)</t>
  </si>
  <si>
    <t>2-3% (Previously: Low single-digit)</t>
  </si>
  <si>
    <t>5-6% (Previously: Mid single digit)</t>
  </si>
  <si>
    <t xml:space="preserve">Telenor Q3 25 reconciliation </t>
  </si>
  <si>
    <t>Outlook for 2026</t>
  </si>
  <si>
    <t>Q4 25</t>
  </si>
  <si>
    <t>Group FCF before M&amp;A, excl. associates***</t>
  </si>
  <si>
    <t>NOK 10-11 bn</t>
  </si>
  <si>
    <r>
      <t xml:space="preserve">Q4 24
</t>
    </r>
    <r>
      <rPr>
        <sz val="10"/>
        <rFont val="Arial"/>
        <family val="2"/>
      </rPr>
      <t>(Note: restated, excl. Telenor Pakistan)</t>
    </r>
  </si>
  <si>
    <t xml:space="preserve">Telenor Q4 25 reconciliation </t>
  </si>
  <si>
    <t>Q1 26</t>
  </si>
  <si>
    <r>
      <t xml:space="preserve">Q1 25
</t>
    </r>
    <r>
      <rPr>
        <sz val="10"/>
        <rFont val="Arial"/>
        <family val="2"/>
      </rPr>
      <t>(Note: restated, excl. Telenor Pakistan)</t>
    </r>
  </si>
  <si>
    <t>Low-to-mid single digit (Previously: Mid single-digit)</t>
  </si>
  <si>
    <t>Flat-to-low single digit (Previously: Low-to-mid single-digit)</t>
  </si>
  <si>
    <t xml:space="preserve">Telenor Q1 26 reconciliation </t>
  </si>
  <si>
    <t xml:space="preserve">          Such payments amounted to NOK 0.3 bn in Q1 2026 relating to 1800MHz in Sweden and 700MHz in Bangladesh. </t>
  </si>
  <si>
    <t xml:space="preserve">   *)  Adjusted EBITDA</t>
  </si>
  <si>
    <t xml:space="preserve">   ***) Excluding payments on spectrum acquired after Capital Markets Day in November 2025. See note 29 in Annual report for reference on non-prepaid commitments.</t>
  </si>
  <si>
    <t xml:space="preserve">   ***) Excluding payments on spectrum commitments incremental to 2024 level as communicated on CMD. See note 29 in 2024 Annual report for reference. </t>
  </si>
  <si>
    <t xml:space="preserve">Telenor Q2 26 reconciliation </t>
  </si>
  <si>
    <t>Q2 26</t>
  </si>
  <si>
    <r>
      <t xml:space="preserve">Q2 25
</t>
    </r>
    <r>
      <rPr>
        <sz val="10"/>
        <rFont val="Arial"/>
        <family val="2"/>
      </rPr>
      <t>(Note: restated, excl. Telenor Pakistan)</t>
    </r>
  </si>
  <si>
    <t>Around NOK 10 bn (Previously: NOK 10-11 bn)</t>
  </si>
  <si>
    <t>Flat to low single-digit (Previously: Low single-digit)</t>
  </si>
  <si>
    <t>Flat to low single-digit (Previously: Low-to-mid single digit)</t>
  </si>
  <si>
    <t>Flat to slightly negative (Previously: Flat-to-low single digit)</t>
  </si>
  <si>
    <t>Nordic organic adj. EBITDA* growth</t>
  </si>
  <si>
    <t>Group organic adj. EBITDA growth</t>
  </si>
  <si>
    <t xml:space="preserve">   *)  Outlook continues to exclude potential items relating to prior years' activities, incl. the provision for the 2020-2022 TV VAT dispute. See outlook section in the report for details.</t>
  </si>
  <si>
    <t>Outlook for 2026*</t>
  </si>
  <si>
    <t>EBITDA, adjusted</t>
  </si>
  <si>
    <t>Flat to low single-digit</t>
  </si>
  <si>
    <t>Flat to slightly negative</t>
  </si>
  <si>
    <t>Around NOK 10 bn</t>
  </si>
  <si>
    <t>Q3 26</t>
  </si>
  <si>
    <t xml:space="preserve">Telenor Q3 26 reconciliation </t>
  </si>
  <si>
    <t xml:space="preserve">   *)  Outlook continues to exclude potential items relating to prior years' activities, incl. the provision for the 2020-2022 TV VAT dispute. See presentation appendix for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</si>
</sst>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_(* \(#,##0\);_(* &quot;-&quot;??_);_(@_)"/>
    <numFmt numFmtId="166" formatCode="0.0\ %"/>
    <numFmt numFmtId="167" formatCode="#,##0;\(#,##0\);&quot;—&quot;;_(@_)"/>
  </numFmts>
  <fonts count="32" x14ac:knownFonts="1">
    <font>
      <sz val="11"/>
      <color theme="1"/>
      <name val="Calibri"/>
      <family val="2"/>
      <scheme val="minor"/>
    </font>
    <font>
      <sz val="10"/>
      <name val="Arial"/>
      <family val="2"/>
    </font>
    <font>
      <b/>
      <sz val="12"/>
      <name val="Arial"/>
      <family val="2"/>
    </font>
    <font>
      <b/>
      <sz val="10"/>
      <name val="Arial"/>
      <family val="2"/>
    </font>
    <font>
      <sz val="10"/>
      <color rgb="FFFF0000"/>
      <name val="Arial"/>
      <family val="2"/>
    </font>
    <font>
      <sz val="12"/>
      <name val="Arial"/>
      <family val="2"/>
    </font>
    <font>
      <sz val="9"/>
      <color rgb="FFFF0000"/>
      <name val="Arial"/>
      <family val="2"/>
    </font>
    <font>
      <i/>
      <sz val="11"/>
      <name val="Arial"/>
      <family val="2"/>
    </font>
    <font>
      <u/>
      <sz val="10"/>
      <name val="Arial"/>
      <family val="2"/>
    </font>
    <font>
      <i/>
      <u/>
      <sz val="10"/>
      <name val="Arial"/>
      <family val="2"/>
    </font>
    <font>
      <i/>
      <sz val="10"/>
      <name val="Arial"/>
      <family val="2"/>
    </font>
    <font>
      <i/>
      <sz val="10"/>
      <color rgb="FFFF0000"/>
      <name val="Arial"/>
      <family val="2"/>
    </font>
    <font>
      <sz val="9"/>
      <name val="Arial"/>
      <family val="2"/>
    </font>
    <font>
      <sz val="9"/>
      <color indexed="81"/>
      <name val="Arial"/>
      <family val="2"/>
    </font>
    <font>
      <sz val="9"/>
      <color indexed="81"/>
      <name val="Tahoma"/>
      <family val="2"/>
    </font>
    <font>
      <sz val="10"/>
      <color theme="1"/>
      <name val="Arial"/>
      <family val="2"/>
    </font>
    <font>
      <i/>
      <sz val="8"/>
      <name val="Arial"/>
      <family val="2"/>
    </font>
    <font>
      <i/>
      <sz val="8"/>
      <color rgb="FFFF0000"/>
      <name val="Arial"/>
      <family val="2"/>
    </font>
    <font>
      <b/>
      <i/>
      <sz val="8"/>
      <name val="Arial"/>
      <family val="2"/>
    </font>
    <font>
      <b/>
      <sz val="11"/>
      <color theme="1"/>
      <name val="Calibri"/>
      <family val="2"/>
      <scheme val="minor"/>
    </font>
    <font>
      <b/>
      <u/>
      <sz val="10"/>
      <name val="Arial"/>
      <family val="2"/>
    </font>
    <font>
      <sz val="11"/>
      <color theme="1"/>
      <name val="Calibri"/>
      <family val="2"/>
    </font>
    <font>
      <sz val="10"/>
      <color rgb="FF000000"/>
      <name val="Arial"/>
      <family val="2"/>
    </font>
    <font>
      <sz val="8"/>
      <name val="Arial"/>
      <family val="2"/>
    </font>
    <font>
      <b/>
      <sz val="10"/>
      <color theme="1"/>
      <name val="Arial"/>
      <family val="2"/>
    </font>
    <font>
      <sz val="11"/>
      <color theme="1"/>
      <name val="Arial"/>
      <family val="2"/>
    </font>
    <font>
      <b/>
      <sz val="11"/>
      <color theme="1"/>
      <name val="Arial"/>
      <family val="2"/>
    </font>
    <font>
      <sz val="12"/>
      <color theme="1"/>
      <name val="Arial"/>
      <family val="2"/>
    </font>
    <font>
      <b/>
      <u/>
      <sz val="12"/>
      <name val="Arial"/>
      <family val="2"/>
    </font>
    <font>
      <b/>
      <sz val="9"/>
      <color indexed="81"/>
      <name val="Tahoma"/>
      <family val="2"/>
    </font>
    <font>
      <sz val="11"/>
      <color theme="1"/>
      <name val="Calibri"/>
      <family val="2"/>
      <scheme val="minor"/>
    </font>
    <font>
      <sz val="10"/>
      <color rgb="FF000000"/>
      <name val="Arial"/>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22" fillId="0" borderId="0" applyBorder="0">
      <alignment wrapText="1"/>
    </xf>
    <xf numFmtId="9" fontId="30" fillId="0" borderId="0" applyFont="0" applyFill="0" applyBorder="0" applyAlignment="0" applyProtection="0"/>
  </cellStyleXfs>
  <cellXfs count="159">
    <xf numFmtId="0" fontId="0" fillId="0" borderId="0" xfId="0"/>
    <xf numFmtId="0" fontId="2" fillId="0" borderId="0" xfId="2" applyFont="1"/>
    <xf numFmtId="0" fontId="1" fillId="0" borderId="0" xfId="2"/>
    <xf numFmtId="0" fontId="3" fillId="0" borderId="0" xfId="2" applyFont="1" applyAlignment="1">
      <alignment horizontal="right"/>
    </xf>
    <xf numFmtId="0" fontId="4" fillId="0" borderId="0" xfId="2" applyFont="1"/>
    <xf numFmtId="0" fontId="3" fillId="0" borderId="0" xfId="2" applyFont="1"/>
    <xf numFmtId="165" fontId="0" fillId="0" borderId="0" xfId="1" applyNumberFormat="1" applyFont="1"/>
    <xf numFmtId="3" fontId="1" fillId="0" borderId="0" xfId="2" applyNumberFormat="1"/>
    <xf numFmtId="165" fontId="0" fillId="0" borderId="0" xfId="1" applyNumberFormat="1" applyFont="1" applyFill="1"/>
    <xf numFmtId="3" fontId="0" fillId="0" borderId="0" xfId="1" applyNumberFormat="1" applyFont="1"/>
    <xf numFmtId="0" fontId="5" fillId="0" borderId="0" xfId="2" applyFont="1"/>
    <xf numFmtId="0" fontId="1" fillId="0" borderId="0" xfId="2" applyAlignment="1">
      <alignment horizontal="left" vertical="top" wrapText="1"/>
    </xf>
    <xf numFmtId="0" fontId="1" fillId="0" borderId="0" xfId="2" applyAlignment="1">
      <alignment vertical="center"/>
    </xf>
    <xf numFmtId="0" fontId="6" fillId="0" borderId="0" xfId="2" applyFont="1" applyAlignment="1">
      <alignment horizontal="left" vertical="top" wrapText="1"/>
    </xf>
    <xf numFmtId="0" fontId="2" fillId="0" borderId="1" xfId="2" applyFont="1" applyBorder="1"/>
    <xf numFmtId="0" fontId="1" fillId="0" borderId="2" xfId="2" applyBorder="1"/>
    <xf numFmtId="0" fontId="4" fillId="0" borderId="3" xfId="2" applyFont="1" applyBorder="1"/>
    <xf numFmtId="0" fontId="7" fillId="0" borderId="4" xfId="2" applyFont="1" applyBorder="1"/>
    <xf numFmtId="0" fontId="8" fillId="0" borderId="0" xfId="2" applyFont="1" applyAlignment="1">
      <alignment horizontal="left"/>
    </xf>
    <xf numFmtId="0" fontId="9" fillId="0" borderId="0" xfId="2" applyFont="1" applyAlignment="1">
      <alignment horizontal="left"/>
    </xf>
    <xf numFmtId="0" fontId="1" fillId="0" borderId="5" xfId="2" applyBorder="1"/>
    <xf numFmtId="0" fontId="1" fillId="0" borderId="4" xfId="2" applyBorder="1"/>
    <xf numFmtId="10" fontId="3" fillId="0" borderId="0" xfId="2" applyNumberFormat="1" applyFont="1"/>
    <xf numFmtId="0" fontId="7" fillId="0" borderId="0" xfId="2" applyFont="1"/>
    <xf numFmtId="166" fontId="11" fillId="0" borderId="5" xfId="2" applyNumberFormat="1" applyFont="1" applyBorder="1"/>
    <xf numFmtId="0" fontId="12" fillId="0" borderId="4" xfId="2" applyFont="1" applyBorder="1"/>
    <xf numFmtId="0" fontId="10" fillId="0" borderId="0" xfId="2" applyFont="1"/>
    <xf numFmtId="0" fontId="11" fillId="0" borderId="5" xfId="2" applyFont="1" applyBorder="1"/>
    <xf numFmtId="0" fontId="4" fillId="0" borderId="6" xfId="2" applyFont="1" applyBorder="1"/>
    <xf numFmtId="0" fontId="4" fillId="0" borderId="7" xfId="2" applyFont="1" applyBorder="1"/>
    <xf numFmtId="0" fontId="4" fillId="0" borderId="8" xfId="2" applyFont="1" applyBorder="1"/>
    <xf numFmtId="166" fontId="10" fillId="0" borderId="0" xfId="2" applyNumberFormat="1" applyFont="1" applyAlignment="1">
      <alignment horizontal="left"/>
    </xf>
    <xf numFmtId="0" fontId="1" fillId="0" borderId="0" xfId="2" applyAlignment="1">
      <alignment horizontal="left"/>
    </xf>
    <xf numFmtId="0" fontId="10" fillId="0" borderId="0" xfId="2" quotePrefix="1" applyFont="1"/>
    <xf numFmtId="166" fontId="10" fillId="0" borderId="0" xfId="2" quotePrefix="1" applyNumberFormat="1" applyFont="1" applyAlignment="1">
      <alignment horizontal="left"/>
    </xf>
    <xf numFmtId="0" fontId="12" fillId="0" borderId="6" xfId="2" applyFont="1" applyBorder="1"/>
    <xf numFmtId="0" fontId="9" fillId="0" borderId="4" xfId="2" applyFont="1" applyBorder="1" applyAlignment="1">
      <alignment horizontal="left"/>
    </xf>
    <xf numFmtId="166" fontId="10" fillId="0" borderId="4" xfId="2" applyNumberFormat="1" applyFont="1" applyBorder="1" applyAlignment="1">
      <alignment horizontal="left"/>
    </xf>
    <xf numFmtId="166" fontId="11" fillId="0" borderId="0" xfId="2" applyNumberFormat="1" applyFont="1"/>
    <xf numFmtId="166" fontId="10" fillId="0" borderId="4" xfId="2" quotePrefix="1" applyNumberFormat="1" applyFont="1" applyBorder="1" applyAlignment="1">
      <alignment horizontal="left"/>
    </xf>
    <xf numFmtId="0" fontId="1" fillId="0" borderId="4" xfId="2" applyBorder="1" applyAlignment="1">
      <alignment horizontal="left"/>
    </xf>
    <xf numFmtId="0" fontId="10" fillId="0" borderId="4" xfId="2" applyFont="1" applyBorder="1"/>
    <xf numFmtId="0" fontId="11" fillId="0" borderId="0" xfId="2" applyFont="1"/>
    <xf numFmtId="0" fontId="4" fillId="0" borderId="4" xfId="2" applyFont="1" applyBorder="1"/>
    <xf numFmtId="0" fontId="1" fillId="0" borderId="4" xfId="2" applyBorder="1" applyAlignment="1">
      <alignment horizontal="left" indent="4"/>
    </xf>
    <xf numFmtId="166" fontId="1" fillId="0" borderId="0" xfId="2" applyNumberFormat="1" applyAlignment="1">
      <alignment horizontal="left"/>
    </xf>
    <xf numFmtId="165" fontId="1" fillId="0" borderId="0" xfId="2" applyNumberFormat="1"/>
    <xf numFmtId="0" fontId="1" fillId="0" borderId="0" xfId="2" applyAlignment="1">
      <alignment horizontal="right"/>
    </xf>
    <xf numFmtId="165" fontId="0" fillId="0" borderId="0" xfId="1" applyNumberFormat="1" applyFont="1" applyAlignment="1">
      <alignment horizontal="right"/>
    </xf>
    <xf numFmtId="0" fontId="1" fillId="0" borderId="0" xfId="2" applyAlignment="1">
      <alignment horizontal="right" vertical="top" wrapText="1"/>
    </xf>
    <xf numFmtId="0" fontId="6" fillId="0" borderId="0" xfId="2" applyFont="1" applyAlignment="1">
      <alignment horizontal="right" vertical="top" wrapText="1"/>
    </xf>
    <xf numFmtId="0" fontId="1" fillId="0" borderId="2" xfId="2" applyBorder="1" applyAlignment="1">
      <alignment horizontal="right"/>
    </xf>
    <xf numFmtId="0" fontId="9" fillId="0" borderId="0" xfId="2" applyFont="1" applyAlignment="1">
      <alignment horizontal="right"/>
    </xf>
    <xf numFmtId="166" fontId="10" fillId="0" borderId="0" xfId="2" applyNumberFormat="1" applyFont="1" applyAlignment="1">
      <alignment horizontal="right"/>
    </xf>
    <xf numFmtId="166" fontId="10" fillId="0" borderId="0" xfId="2" quotePrefix="1" applyNumberFormat="1" applyFont="1" applyAlignment="1">
      <alignment horizontal="right"/>
    </xf>
    <xf numFmtId="0" fontId="10" fillId="0" borderId="0" xfId="2" applyFont="1" applyAlignment="1">
      <alignment horizontal="right"/>
    </xf>
    <xf numFmtId="0" fontId="4" fillId="0" borderId="7" xfId="2" applyFont="1" applyBorder="1" applyAlignment="1">
      <alignment horizontal="right"/>
    </xf>
    <xf numFmtId="0" fontId="12" fillId="0" borderId="6" xfId="2" applyFont="1" applyBorder="1" applyAlignment="1">
      <alignment horizontal="left"/>
    </xf>
    <xf numFmtId="165" fontId="15" fillId="0" borderId="0" xfId="1" applyNumberFormat="1" applyFont="1"/>
    <xf numFmtId="3" fontId="15" fillId="0" borderId="0" xfId="1" applyNumberFormat="1" applyFont="1"/>
    <xf numFmtId="165" fontId="15" fillId="0" borderId="0" xfId="1" applyNumberFormat="1" applyFont="1" applyFill="1"/>
    <xf numFmtId="0" fontId="1" fillId="0" borderId="3" xfId="2" applyBorder="1"/>
    <xf numFmtId="0" fontId="8" fillId="0" borderId="5" xfId="2" applyFont="1" applyBorder="1" applyAlignment="1">
      <alignment horizontal="left"/>
    </xf>
    <xf numFmtId="10" fontId="3" fillId="0" borderId="5" xfId="2" applyNumberFormat="1" applyFont="1" applyBorder="1"/>
    <xf numFmtId="0" fontId="1" fillId="0" borderId="6" xfId="2" applyBorder="1" applyAlignment="1">
      <alignment horizontal="left" indent="4"/>
    </xf>
    <xf numFmtId="0" fontId="1" fillId="0" borderId="7" xfId="2" applyBorder="1"/>
    <xf numFmtId="0" fontId="3" fillId="0" borderId="8" xfId="2" applyFont="1" applyBorder="1"/>
    <xf numFmtId="0" fontId="16" fillId="0" borderId="6" xfId="2" applyFont="1" applyBorder="1"/>
    <xf numFmtId="0" fontId="17" fillId="0" borderId="7" xfId="2" applyFont="1" applyBorder="1"/>
    <xf numFmtId="0" fontId="17" fillId="0" borderId="8" xfId="2" applyFont="1" applyBorder="1"/>
    <xf numFmtId="0" fontId="3" fillId="0" borderId="5" xfId="2" applyFont="1" applyBorder="1"/>
    <xf numFmtId="0" fontId="20" fillId="0" borderId="5" xfId="2" applyFont="1" applyBorder="1" applyAlignment="1">
      <alignment horizontal="left"/>
    </xf>
    <xf numFmtId="10" fontId="1" fillId="0" borderId="5" xfId="2" applyNumberFormat="1" applyBorder="1"/>
    <xf numFmtId="165" fontId="19" fillId="0" borderId="0" xfId="1" applyNumberFormat="1" applyFont="1"/>
    <xf numFmtId="3" fontId="19" fillId="0" borderId="0" xfId="1" applyNumberFormat="1" applyFont="1"/>
    <xf numFmtId="0" fontId="2" fillId="2" borderId="0" xfId="2" applyFont="1" applyFill="1"/>
    <xf numFmtId="0" fontId="1" fillId="2" borderId="0" xfId="2" applyFill="1"/>
    <xf numFmtId="0" fontId="0" fillId="2" borderId="0" xfId="0" applyFill="1"/>
    <xf numFmtId="0" fontId="3" fillId="2" borderId="0" xfId="2" applyFont="1" applyFill="1" applyAlignment="1">
      <alignment horizontal="right"/>
    </xf>
    <xf numFmtId="0" fontId="3" fillId="2" borderId="0" xfId="2" applyFont="1" applyFill="1"/>
    <xf numFmtId="3" fontId="1" fillId="2" borderId="0" xfId="2" applyNumberFormat="1" applyFill="1"/>
    <xf numFmtId="165" fontId="1" fillId="2" borderId="0" xfId="2" applyNumberFormat="1" applyFill="1"/>
    <xf numFmtId="0" fontId="1" fillId="2" borderId="0" xfId="2" applyFill="1" applyAlignment="1">
      <alignment horizontal="left" vertical="top" wrapText="1"/>
    </xf>
    <xf numFmtId="0" fontId="6" fillId="2" borderId="0" xfId="2" applyFont="1" applyFill="1" applyAlignment="1">
      <alignment horizontal="left" vertical="top" wrapText="1"/>
    </xf>
    <xf numFmtId="0" fontId="1" fillId="2" borderId="2" xfId="2" applyFill="1" applyBorder="1"/>
    <xf numFmtId="0" fontId="1" fillId="2" borderId="3" xfId="2" applyFill="1" applyBorder="1"/>
    <xf numFmtId="0" fontId="21" fillId="2" borderId="0" xfId="0" applyFont="1" applyFill="1"/>
    <xf numFmtId="0" fontId="20" fillId="2" borderId="5" xfId="2" applyFont="1" applyFill="1" applyBorder="1" applyAlignment="1">
      <alignment horizontal="left"/>
    </xf>
    <xf numFmtId="0" fontId="1" fillId="2" borderId="4" xfId="2" applyFill="1" applyBorder="1" applyAlignment="1">
      <alignment horizontal="left" indent="4"/>
    </xf>
    <xf numFmtId="10" fontId="1" fillId="2" borderId="5" xfId="2" applyNumberFormat="1" applyFill="1" applyBorder="1"/>
    <xf numFmtId="0" fontId="1" fillId="2" borderId="5" xfId="2" applyFill="1" applyBorder="1"/>
    <xf numFmtId="0" fontId="16" fillId="2" borderId="6" xfId="2" applyFont="1" applyFill="1" applyBorder="1"/>
    <xf numFmtId="0" fontId="17" fillId="2" borderId="7" xfId="2" applyFont="1" applyFill="1" applyBorder="1"/>
    <xf numFmtId="0" fontId="17" fillId="2" borderId="8" xfId="2" applyFont="1" applyFill="1" applyBorder="1"/>
    <xf numFmtId="0" fontId="4" fillId="2" borderId="0" xfId="2" applyFont="1" applyFill="1"/>
    <xf numFmtId="0" fontId="1" fillId="2" borderId="0" xfId="2" applyFill="1" applyAlignment="1">
      <alignment horizontal="right"/>
    </xf>
    <xf numFmtId="0" fontId="1" fillId="0" borderId="0" xfId="2" applyAlignment="1">
      <alignment horizontal="left" indent="1"/>
    </xf>
    <xf numFmtId="0" fontId="20" fillId="2" borderId="0" xfId="2" applyFont="1" applyFill="1" applyAlignment="1">
      <alignment horizontal="left"/>
    </xf>
    <xf numFmtId="10" fontId="1" fillId="2" borderId="0" xfId="2" applyNumberFormat="1" applyFill="1"/>
    <xf numFmtId="0" fontId="23" fillId="2" borderId="4" xfId="2" applyFont="1" applyFill="1" applyBorder="1" applyAlignment="1">
      <alignment horizontal="left"/>
    </xf>
    <xf numFmtId="0" fontId="23" fillId="2" borderId="0" xfId="2" applyFont="1" applyFill="1" applyAlignment="1">
      <alignment horizontal="left"/>
    </xf>
    <xf numFmtId="0" fontId="23" fillId="2" borderId="6" xfId="2" applyFont="1" applyFill="1" applyBorder="1"/>
    <xf numFmtId="3" fontId="3" fillId="0" borderId="0" xfId="2" applyNumberFormat="1" applyFont="1"/>
    <xf numFmtId="0" fontId="25" fillId="2" borderId="0" xfId="0" applyFont="1" applyFill="1"/>
    <xf numFmtId="3" fontId="3" fillId="0" borderId="0" xfId="1" applyNumberFormat="1" applyFont="1"/>
    <xf numFmtId="3" fontId="24" fillId="0" borderId="0" xfId="2" applyNumberFormat="1" applyFont="1" applyAlignment="1">
      <alignment horizontal="right"/>
    </xf>
    <xf numFmtId="3" fontId="15" fillId="0" borderId="0" xfId="2" applyNumberFormat="1" applyFont="1" applyAlignment="1">
      <alignment horizontal="right"/>
    </xf>
    <xf numFmtId="3" fontId="24" fillId="0" borderId="0" xfId="2" applyNumberFormat="1" applyFont="1"/>
    <xf numFmtId="3" fontId="25" fillId="0" borderId="0" xfId="1" applyNumberFormat="1" applyFont="1" applyFill="1"/>
    <xf numFmtId="3" fontId="25" fillId="0" borderId="0" xfId="1" applyNumberFormat="1" applyFont="1"/>
    <xf numFmtId="3" fontId="26" fillId="0" borderId="0" xfId="1" applyNumberFormat="1" applyFont="1"/>
    <xf numFmtId="3" fontId="15" fillId="0" borderId="0" xfId="1" applyNumberFormat="1" applyFont="1" applyFill="1"/>
    <xf numFmtId="3" fontId="1" fillId="0" borderId="0" xfId="2" applyNumberFormat="1" applyAlignment="1">
      <alignment horizontal="right"/>
    </xf>
    <xf numFmtId="3" fontId="24" fillId="0" borderId="0" xfId="1" applyNumberFormat="1" applyFont="1" applyFill="1"/>
    <xf numFmtId="0" fontId="15" fillId="2" borderId="0" xfId="0" applyFont="1" applyFill="1"/>
    <xf numFmtId="0" fontId="4" fillId="2" borderId="0" xfId="2" applyFont="1" applyFill="1" applyAlignment="1">
      <alignment horizontal="left" vertical="top" wrapText="1"/>
    </xf>
    <xf numFmtId="0" fontId="1" fillId="2" borderId="4" xfId="2" applyFill="1" applyBorder="1" applyAlignment="1">
      <alignment horizontal="left"/>
    </xf>
    <xf numFmtId="0" fontId="1" fillId="2" borderId="6" xfId="2" applyFill="1" applyBorder="1"/>
    <xf numFmtId="0" fontId="11" fillId="2" borderId="7" xfId="2" applyFont="1" applyFill="1" applyBorder="1"/>
    <xf numFmtId="0" fontId="11" fillId="2" borderId="8" xfId="2" applyFont="1" applyFill="1" applyBorder="1"/>
    <xf numFmtId="0" fontId="5" fillId="2" borderId="2" xfId="2" applyFont="1" applyFill="1" applyBorder="1"/>
    <xf numFmtId="0" fontId="27" fillId="2" borderId="0" xfId="0" applyFont="1" applyFill="1"/>
    <xf numFmtId="0" fontId="28" fillId="2" borderId="0" xfId="2" applyFont="1" applyFill="1" applyAlignment="1">
      <alignment horizontal="left"/>
    </xf>
    <xf numFmtId="3" fontId="24" fillId="0" borderId="0" xfId="1" applyNumberFormat="1" applyFont="1"/>
    <xf numFmtId="3" fontId="3" fillId="0" borderId="0" xfId="1" applyNumberFormat="1" applyFont="1" applyFill="1"/>
    <xf numFmtId="3" fontId="24" fillId="0" borderId="0" xfId="1" applyNumberFormat="1" applyFont="1" applyAlignment="1">
      <alignment horizontal="right"/>
    </xf>
    <xf numFmtId="3" fontId="3" fillId="0" borderId="0" xfId="2" applyNumberFormat="1" applyFont="1" applyAlignment="1">
      <alignment horizontal="right"/>
    </xf>
    <xf numFmtId="0" fontId="23" fillId="0" borderId="4" xfId="2" applyFont="1" applyBorder="1" applyAlignment="1">
      <alignment horizontal="left"/>
    </xf>
    <xf numFmtId="0" fontId="23" fillId="0" borderId="6" xfId="2" applyFont="1" applyBorder="1" applyAlignment="1">
      <alignment horizontal="left"/>
    </xf>
    <xf numFmtId="3" fontId="22" fillId="2" borderId="0" xfId="1" applyNumberFormat="1" applyFont="1" applyFill="1" applyBorder="1" applyAlignment="1">
      <alignment horizontal="right"/>
    </xf>
    <xf numFmtId="3" fontId="3" fillId="2" borderId="0" xfId="2" applyNumberFormat="1" applyFont="1" applyFill="1"/>
    <xf numFmtId="3" fontId="26" fillId="2" borderId="0" xfId="1" applyNumberFormat="1" applyFont="1" applyFill="1" applyBorder="1"/>
    <xf numFmtId="3" fontId="25" fillId="2" borderId="0" xfId="1" applyNumberFormat="1" applyFont="1" applyFill="1" applyBorder="1"/>
    <xf numFmtId="167" fontId="3" fillId="0" borderId="0" xfId="2" applyNumberFormat="1" applyFont="1"/>
    <xf numFmtId="167" fontId="1" fillId="0" borderId="0" xfId="2" applyNumberFormat="1"/>
    <xf numFmtId="167" fontId="24" fillId="0" borderId="0" xfId="2" applyNumberFormat="1" applyFont="1"/>
    <xf numFmtId="167" fontId="15" fillId="0" borderId="0" xfId="1" applyNumberFormat="1" applyFont="1" applyFill="1"/>
    <xf numFmtId="167" fontId="15" fillId="0" borderId="0" xfId="1" applyNumberFormat="1" applyFont="1"/>
    <xf numFmtId="167" fontId="24" fillId="0" borderId="0" xfId="1" applyNumberFormat="1" applyFont="1" applyFill="1"/>
    <xf numFmtId="167" fontId="24" fillId="0" borderId="0" xfId="1" applyNumberFormat="1" applyFont="1"/>
    <xf numFmtId="0" fontId="20" fillId="0" borderId="0" xfId="2" applyFont="1" applyAlignment="1">
      <alignment horizontal="right" wrapText="1"/>
    </xf>
    <xf numFmtId="0" fontId="20" fillId="0" borderId="0" xfId="2" applyFont="1" applyAlignment="1">
      <alignment horizontal="right" vertical="top"/>
    </xf>
    <xf numFmtId="0" fontId="20" fillId="0" borderId="0" xfId="2" applyFont="1" applyAlignment="1">
      <alignment horizontal="right"/>
    </xf>
    <xf numFmtId="9" fontId="24" fillId="0" borderId="0" xfId="7" applyFont="1"/>
    <xf numFmtId="0" fontId="2" fillId="2" borderId="1" xfId="2" applyFont="1" applyFill="1" applyBorder="1" applyAlignment="1">
      <alignment horizontal="center" vertical="center"/>
    </xf>
    <xf numFmtId="0" fontId="2" fillId="2" borderId="2" xfId="2" applyFont="1" applyFill="1" applyBorder="1" applyAlignment="1">
      <alignment horizontal="center" vertical="center"/>
    </xf>
    <xf numFmtId="0" fontId="2" fillId="2" borderId="4" xfId="2" applyFont="1" applyFill="1" applyBorder="1" applyAlignment="1">
      <alignment horizontal="center" vertical="center"/>
    </xf>
    <xf numFmtId="0" fontId="2" fillId="2" borderId="0" xfId="2" applyFont="1" applyFill="1" applyAlignment="1">
      <alignment horizontal="center" vertical="center"/>
    </xf>
    <xf numFmtId="0" fontId="16" fillId="2" borderId="6" xfId="2" applyFont="1" applyFill="1" applyBorder="1" applyAlignment="1">
      <alignment horizontal="left" vertical="top" wrapText="1"/>
    </xf>
    <xf numFmtId="0" fontId="16" fillId="2" borderId="7" xfId="2" applyFont="1" applyFill="1" applyBorder="1" applyAlignment="1">
      <alignment horizontal="left" vertical="top" wrapText="1"/>
    </xf>
    <xf numFmtId="0" fontId="16" fillId="2" borderId="8" xfId="2" applyFont="1" applyFill="1" applyBorder="1" applyAlignment="1">
      <alignment horizontal="left" vertical="top" wrapText="1"/>
    </xf>
    <xf numFmtId="0" fontId="2" fillId="0" borderId="1" xfId="2" applyFont="1" applyBorder="1" applyAlignment="1">
      <alignment horizontal="center" vertical="center"/>
    </xf>
    <xf numFmtId="0" fontId="2" fillId="0" borderId="2" xfId="2" applyFont="1" applyBorder="1" applyAlignment="1">
      <alignment horizontal="center" vertical="center"/>
    </xf>
    <xf numFmtId="0" fontId="2" fillId="0" borderId="4" xfId="2" applyFont="1" applyBorder="1" applyAlignment="1">
      <alignment horizontal="center" vertical="center"/>
    </xf>
    <xf numFmtId="0" fontId="2" fillId="0" borderId="0" xfId="2" applyFont="1" applyAlignment="1">
      <alignment horizontal="center" vertical="center"/>
    </xf>
    <xf numFmtId="0" fontId="16" fillId="0" borderId="4" xfId="2" applyFont="1" applyBorder="1" applyAlignment="1">
      <alignment horizontal="left" wrapText="1"/>
    </xf>
    <xf numFmtId="0" fontId="16" fillId="0" borderId="0" xfId="2" applyFont="1" applyAlignment="1">
      <alignment horizontal="left" wrapText="1"/>
    </xf>
    <xf numFmtId="0" fontId="16" fillId="0" borderId="5" xfId="2" applyFont="1" applyBorder="1" applyAlignment="1">
      <alignment horizontal="left" wrapText="1"/>
    </xf>
    <xf numFmtId="167" fontId="31" fillId="0" borderId="0" xfId="0" applyNumberFormat="1" applyFont="1" applyAlignment="1">
      <alignment wrapText="1"/>
    </xf>
  </cellXfs>
  <cellStyles count="8">
    <cellStyle name="Comma" xfId="1" builtinId="3"/>
    <cellStyle name="Comma 2" xfId="3" xr:uid="{00000000-0005-0000-0000-000001000000}"/>
    <cellStyle name="Normal" xfId="0" builtinId="0"/>
    <cellStyle name="Normal 2" xfId="4" xr:uid="{00000000-0005-0000-0000-000003000000}"/>
    <cellStyle name="Normal 3" xfId="2" xr:uid="{00000000-0005-0000-0000-000004000000}"/>
    <cellStyle name="Per cent" xfId="7" builtinId="5"/>
    <cellStyle name="Table (Normal)" xfId="6" xr:uid="{632CBFA1-8236-458C-8073-4A9312E5AF25}"/>
    <cellStyle name="Tusenskille_Tables quarterly report 2008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908DF-C076-4688-93D8-608780B71B9A}">
  <sheetPr>
    <tabColor theme="0" tint="-0.14999847407452621"/>
  </sheetPr>
  <dimension ref="A2:Q42"/>
  <sheetViews>
    <sheetView showGridLines="0" tabSelected="1" zoomScale="110" zoomScaleNormal="110" workbookViewId="0"/>
  </sheetViews>
  <sheetFormatPr defaultColWidth="9.140625" defaultRowHeight="12.75" x14ac:dyDescent="0.2"/>
  <cols>
    <col min="1" max="1" width="3.42578125" style="2" customWidth="1"/>
    <col min="2" max="2" width="37.140625" style="2" customWidth="1"/>
    <col min="3" max="3" width="9.140625" style="2"/>
    <col min="4" max="4" width="12.42578125" style="2" customWidth="1"/>
    <col min="5" max="5" width="11" style="2" customWidth="1"/>
    <col min="6" max="6" width="43.140625" style="2" customWidth="1"/>
    <col min="7" max="7" width="17.285156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231</v>
      </c>
      <c r="E2" s="47"/>
      <c r="F2" s="47"/>
    </row>
    <row r="3" spans="2:13" x14ac:dyDescent="0.2">
      <c r="B3" s="2" t="s">
        <v>0</v>
      </c>
      <c r="E3" s="142" t="s">
        <v>230</v>
      </c>
      <c r="F3" s="142" t="s">
        <v>195</v>
      </c>
      <c r="H3" s="3"/>
    </row>
    <row r="4" spans="2:13" x14ac:dyDescent="0.2">
      <c r="M4" s="4"/>
    </row>
    <row r="5" spans="2:13" x14ac:dyDescent="0.2">
      <c r="B5" s="5" t="s">
        <v>3</v>
      </c>
      <c r="E5" s="133">
        <f>E7-E6</f>
        <v>8725</v>
      </c>
      <c r="F5" s="133">
        <f>F7-F6</f>
        <v>9120</v>
      </c>
      <c r="H5" s="7"/>
      <c r="M5" s="4"/>
    </row>
    <row r="6" spans="2:13" x14ac:dyDescent="0.2">
      <c r="B6" s="96" t="s">
        <v>4</v>
      </c>
      <c r="E6" s="134">
        <f>20+31</f>
        <v>51</v>
      </c>
      <c r="F6" s="134">
        <v>-70</v>
      </c>
      <c r="H6" s="7"/>
      <c r="M6" s="4"/>
    </row>
    <row r="7" spans="2:13" x14ac:dyDescent="0.2">
      <c r="B7" s="5" t="s">
        <v>189</v>
      </c>
      <c r="E7" s="135">
        <v>8776</v>
      </c>
      <c r="F7" s="135">
        <v>9050</v>
      </c>
      <c r="H7" s="7"/>
    </row>
    <row r="8" spans="2:13" x14ac:dyDescent="0.2">
      <c r="B8" s="2" t="s">
        <v>5</v>
      </c>
      <c r="E8" s="136">
        <f>6907-295+25-20</f>
        <v>6617</v>
      </c>
      <c r="F8" s="136">
        <f>18-13-79</f>
        <v>-74</v>
      </c>
      <c r="H8" s="7"/>
    </row>
    <row r="9" spans="2:13" x14ac:dyDescent="0.2">
      <c r="B9" s="5" t="s">
        <v>6</v>
      </c>
      <c r="E9" s="138">
        <v>15394</v>
      </c>
      <c r="F9" s="138">
        <v>8977</v>
      </c>
      <c r="H9" s="7"/>
    </row>
    <row r="10" spans="2:13" x14ac:dyDescent="0.2">
      <c r="B10" s="2" t="s">
        <v>7</v>
      </c>
      <c r="E10" s="158">
        <v>-3801.1171599999998</v>
      </c>
      <c r="F10" s="158">
        <v>-4092.843386</v>
      </c>
      <c r="H10" s="7"/>
      <c r="M10" s="4"/>
    </row>
    <row r="11" spans="2:13" x14ac:dyDescent="0.2">
      <c r="B11" s="2" t="s">
        <v>8</v>
      </c>
      <c r="E11" s="136">
        <v>0</v>
      </c>
      <c r="F11" s="136">
        <v>0</v>
      </c>
      <c r="H11" s="7"/>
      <c r="M11" s="4"/>
    </row>
    <row r="12" spans="2:13" x14ac:dyDescent="0.2">
      <c r="B12" s="5" t="s">
        <v>9</v>
      </c>
      <c r="E12" s="139">
        <f>SUM(E9:E11)</f>
        <v>11592.88284</v>
      </c>
      <c r="F12" s="139">
        <f>SUM(F9:F11)</f>
        <v>4884.1566139999995</v>
      </c>
      <c r="H12" s="7"/>
    </row>
    <row r="13" spans="2:13" x14ac:dyDescent="0.2">
      <c r="B13" s="2" t="s">
        <v>10</v>
      </c>
      <c r="E13" s="137">
        <f>E8</f>
        <v>6617</v>
      </c>
      <c r="F13" s="137">
        <f>F8</f>
        <v>-74</v>
      </c>
      <c r="H13" s="7"/>
    </row>
    <row r="14" spans="2:13" x14ac:dyDescent="0.2">
      <c r="B14" s="5" t="s">
        <v>11</v>
      </c>
      <c r="E14" s="137">
        <f>E11</f>
        <v>0</v>
      </c>
      <c r="F14" s="137">
        <f>F11</f>
        <v>0</v>
      </c>
      <c r="H14" s="7"/>
      <c r="M14" s="4"/>
    </row>
    <row r="15" spans="2:13" x14ac:dyDescent="0.2">
      <c r="B15" s="5" t="s">
        <v>12</v>
      </c>
      <c r="E15" s="139">
        <f>E12-E13-E14</f>
        <v>4975.8828400000002</v>
      </c>
      <c r="F15" s="139">
        <f>F12-F13-F14</f>
        <v>4958.1566139999995</v>
      </c>
      <c r="H15" s="7"/>
    </row>
    <row r="16" spans="2:13" x14ac:dyDescent="0.2">
      <c r="B16" s="2" t="s">
        <v>49</v>
      </c>
      <c r="E16" s="137">
        <f>E6</f>
        <v>51</v>
      </c>
      <c r="F16" s="137">
        <f>F6</f>
        <v>-70</v>
      </c>
      <c r="H16" s="7"/>
    </row>
    <row r="17" spans="1:17" x14ac:dyDescent="0.2">
      <c r="B17" s="2" t="s">
        <v>50</v>
      </c>
      <c r="E17" s="136">
        <v>0</v>
      </c>
      <c r="F17" s="136">
        <v>0</v>
      </c>
      <c r="H17" s="7"/>
    </row>
    <row r="18" spans="1:17" x14ac:dyDescent="0.2">
      <c r="B18" s="5" t="s">
        <v>14</v>
      </c>
      <c r="E18" s="139">
        <f>E15-E16-E17</f>
        <v>4924.8828400000002</v>
      </c>
      <c r="F18" s="139">
        <f>F15-F16-F17</f>
        <v>5028.1566139999995</v>
      </c>
      <c r="G18" s="134"/>
    </row>
    <row r="19" spans="1:17" x14ac:dyDescent="0.2">
      <c r="B19" s="5"/>
      <c r="E19" s="143"/>
      <c r="F19" s="139"/>
    </row>
    <row r="20" spans="1:17" x14ac:dyDescent="0.2">
      <c r="B20" s="2" t="s">
        <v>15</v>
      </c>
      <c r="C20" s="11"/>
      <c r="D20" s="11"/>
      <c r="E20" s="11"/>
      <c r="F20" s="11"/>
      <c r="G20" s="11"/>
      <c r="H20" s="11"/>
      <c r="J20" s="11"/>
      <c r="K20" s="11"/>
      <c r="L20" s="11"/>
      <c r="M20" s="12"/>
      <c r="N20" s="12"/>
      <c r="O20" s="12"/>
      <c r="P20" s="12"/>
      <c r="Q20" s="12"/>
    </row>
    <row r="21" spans="1:17" ht="15" thickBot="1" x14ac:dyDescent="0.25">
      <c r="A21" s="103"/>
      <c r="B21" s="83"/>
      <c r="C21" s="83"/>
      <c r="D21" s="83"/>
      <c r="E21" s="83"/>
      <c r="F21" s="83"/>
      <c r="G21" s="83"/>
    </row>
    <row r="22" spans="1:17" ht="14.25" customHeight="1" x14ac:dyDescent="0.2">
      <c r="A22" s="103"/>
      <c r="B22" s="144" t="s">
        <v>225</v>
      </c>
      <c r="C22" s="145"/>
      <c r="D22" s="84"/>
      <c r="E22" s="84"/>
      <c r="F22" s="84"/>
      <c r="G22" s="85"/>
    </row>
    <row r="23" spans="1:17" ht="14.25" customHeight="1" x14ac:dyDescent="0.2">
      <c r="A23" s="103"/>
      <c r="B23" s="146"/>
      <c r="C23" s="147"/>
      <c r="D23" s="103"/>
      <c r="E23" s="103"/>
      <c r="F23" s="97">
        <v>2026</v>
      </c>
      <c r="G23" s="87"/>
    </row>
    <row r="24" spans="1:17" ht="14.25" x14ac:dyDescent="0.2">
      <c r="A24" s="103"/>
      <c r="B24" s="88" t="s">
        <v>37</v>
      </c>
      <c r="C24" s="103"/>
      <c r="D24" s="103"/>
      <c r="E24" s="103"/>
      <c r="F24" s="98" t="s">
        <v>227</v>
      </c>
      <c r="G24" s="89"/>
    </row>
    <row r="25" spans="1:17" ht="14.25" x14ac:dyDescent="0.2">
      <c r="A25" s="103"/>
      <c r="B25" s="88" t="s">
        <v>222</v>
      </c>
      <c r="C25" s="103"/>
      <c r="D25" s="103"/>
      <c r="E25" s="103"/>
      <c r="F25" s="98" t="s">
        <v>227</v>
      </c>
      <c r="G25" s="89"/>
    </row>
    <row r="26" spans="1:17" ht="14.25" x14ac:dyDescent="0.2">
      <c r="A26" s="103"/>
      <c r="B26" s="88" t="s">
        <v>21</v>
      </c>
      <c r="C26" s="103"/>
      <c r="D26" s="103"/>
      <c r="E26" s="103"/>
      <c r="F26" s="76" t="s">
        <v>22</v>
      </c>
      <c r="G26" s="90"/>
    </row>
    <row r="27" spans="1:17" ht="14.25" x14ac:dyDescent="0.2">
      <c r="A27" s="103"/>
      <c r="B27" s="88"/>
      <c r="C27" s="103"/>
      <c r="D27" s="103"/>
      <c r="E27" s="103"/>
      <c r="F27" s="76"/>
      <c r="G27" s="90"/>
    </row>
    <row r="28" spans="1:17" ht="14.25" x14ac:dyDescent="0.2">
      <c r="A28" s="103"/>
      <c r="B28" s="88" t="s">
        <v>223</v>
      </c>
      <c r="C28" s="103"/>
      <c r="D28" s="103"/>
      <c r="E28" s="103"/>
      <c r="F28" s="76" t="s">
        <v>228</v>
      </c>
      <c r="G28" s="90"/>
    </row>
    <row r="29" spans="1:17" ht="14.25" x14ac:dyDescent="0.2">
      <c r="A29" s="103"/>
      <c r="B29" s="88" t="s">
        <v>202</v>
      </c>
      <c r="C29" s="103"/>
      <c r="D29" s="103"/>
      <c r="E29" s="103"/>
      <c r="F29" s="76" t="s">
        <v>229</v>
      </c>
      <c r="G29" s="90"/>
    </row>
    <row r="30" spans="1:17" ht="14.25" x14ac:dyDescent="0.2">
      <c r="A30" s="103"/>
      <c r="B30" s="88"/>
      <c r="C30" s="103"/>
      <c r="D30" s="103"/>
      <c r="E30" s="103"/>
      <c r="F30" s="76"/>
      <c r="G30" s="90"/>
    </row>
    <row r="31" spans="1:17" ht="14.25" x14ac:dyDescent="0.2">
      <c r="A31" s="103"/>
      <c r="B31" s="21"/>
      <c r="C31" s="103"/>
      <c r="D31" s="103"/>
      <c r="E31" s="103"/>
      <c r="F31" s="76"/>
      <c r="G31" s="90"/>
    </row>
    <row r="32" spans="1:17" ht="14.25" x14ac:dyDescent="0.2">
      <c r="A32" s="103"/>
      <c r="B32" s="127" t="s">
        <v>232</v>
      </c>
      <c r="C32" s="103"/>
      <c r="D32" s="103"/>
      <c r="E32" s="103"/>
      <c r="F32" s="76"/>
      <c r="G32" s="90"/>
    </row>
    <row r="33" spans="1:7" ht="14.25" x14ac:dyDescent="0.2">
      <c r="A33" s="103"/>
      <c r="B33" s="127" t="s">
        <v>29</v>
      </c>
      <c r="C33" s="103"/>
      <c r="D33" s="103"/>
      <c r="E33" s="103"/>
      <c r="F33" s="76"/>
      <c r="G33" s="90"/>
    </row>
    <row r="34" spans="1:7" ht="14.25" x14ac:dyDescent="0.2">
      <c r="A34" s="103"/>
      <c r="B34" s="127" t="s">
        <v>213</v>
      </c>
      <c r="C34" s="103"/>
      <c r="D34" s="103"/>
      <c r="E34" s="103"/>
      <c r="F34" s="76"/>
      <c r="G34" s="90"/>
    </row>
    <row r="35" spans="1:7" ht="15" thickBot="1" x14ac:dyDescent="0.25">
      <c r="A35" s="103"/>
      <c r="B35" s="128" t="s">
        <v>211</v>
      </c>
      <c r="C35" s="92"/>
      <c r="D35" s="92"/>
      <c r="E35" s="92"/>
      <c r="F35" s="92"/>
      <c r="G35" s="93"/>
    </row>
    <row r="36" spans="1:7" ht="14.25" x14ac:dyDescent="0.2">
      <c r="A36" s="103"/>
      <c r="B36" s="100"/>
      <c r="C36" s="103"/>
      <c r="D36" s="103"/>
      <c r="E36" s="103"/>
      <c r="F36" s="103"/>
      <c r="G36" s="76"/>
    </row>
    <row r="37" spans="1:7" x14ac:dyDescent="0.2">
      <c r="B37" s="33"/>
    </row>
    <row r="42" spans="1:7" x14ac:dyDescent="0.2">
      <c r="F42" s="46"/>
    </row>
  </sheetData>
  <mergeCells count="1">
    <mergeCell ref="B22:C23"/>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0FAD4-868C-4029-B9F3-81E49EAE839B}">
  <sheetPr>
    <tabColor theme="0" tint="-0.14999847407452621"/>
  </sheetPr>
  <dimension ref="A2:Q45"/>
  <sheetViews>
    <sheetView showGridLines="0" zoomScaleNormal="100" workbookViewId="0">
      <selection activeCell="B22" sqref="B22:G35"/>
    </sheetView>
  </sheetViews>
  <sheetFormatPr defaultColWidth="9.140625" defaultRowHeight="12.75" x14ac:dyDescent="0.2"/>
  <cols>
    <col min="1" max="1" width="3.42578125" style="2" customWidth="1"/>
    <col min="2" max="2" width="37.140625" style="2" customWidth="1"/>
    <col min="3" max="3" width="9.140625" style="2"/>
    <col min="4" max="4" width="8.42578125" style="2" customWidth="1"/>
    <col min="5" max="5" width="9.85546875" style="2" customWidth="1"/>
    <col min="6" max="6" width="43.42578125" style="2" customWidth="1"/>
    <col min="7" max="7" width="59"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215</v>
      </c>
      <c r="E2" s="47"/>
      <c r="F2" s="47"/>
    </row>
    <row r="3" spans="2:13" ht="25.5" x14ac:dyDescent="0.2">
      <c r="B3" s="2" t="s">
        <v>0</v>
      </c>
      <c r="E3" s="141" t="s">
        <v>216</v>
      </c>
      <c r="F3" s="140" t="s">
        <v>217</v>
      </c>
    </row>
    <row r="4" spans="2:13" x14ac:dyDescent="0.2">
      <c r="M4" s="4"/>
    </row>
    <row r="5" spans="2:13" x14ac:dyDescent="0.2">
      <c r="B5" s="5" t="s">
        <v>3</v>
      </c>
      <c r="E5" s="102">
        <f>E7-E6</f>
        <v>8149</v>
      </c>
      <c r="F5" s="102">
        <f>F7-F6</f>
        <v>8781</v>
      </c>
      <c r="M5" s="4"/>
    </row>
    <row r="6" spans="2:13" x14ac:dyDescent="0.2">
      <c r="B6" s="96" t="s">
        <v>4</v>
      </c>
      <c r="E6" s="134">
        <v>-162</v>
      </c>
      <c r="F6" s="7">
        <v>0</v>
      </c>
      <c r="M6" s="4"/>
    </row>
    <row r="7" spans="2:13" x14ac:dyDescent="0.2">
      <c r="B7" s="5" t="s">
        <v>226</v>
      </c>
      <c r="E7" s="135">
        <f>+E9-E8</f>
        <v>7987</v>
      </c>
      <c r="F7" s="135">
        <f>+F9-F8</f>
        <v>8781</v>
      </c>
    </row>
    <row r="8" spans="2:13" x14ac:dyDescent="0.2">
      <c r="B8" s="2" t="s">
        <v>5</v>
      </c>
      <c r="E8" s="136">
        <f>-255-25-35-32-10</f>
        <v>-357</v>
      </c>
      <c r="F8" s="7">
        <f>535+84-64-16</f>
        <v>539</v>
      </c>
    </row>
    <row r="9" spans="2:13" x14ac:dyDescent="0.2">
      <c r="B9" s="5" t="s">
        <v>6</v>
      </c>
      <c r="E9" s="138">
        <v>7630</v>
      </c>
      <c r="F9" s="138">
        <v>9320</v>
      </c>
    </row>
    <row r="10" spans="2:13" x14ac:dyDescent="0.2">
      <c r="B10" s="2" t="s">
        <v>7</v>
      </c>
      <c r="E10" s="136">
        <v>-3857</v>
      </c>
      <c r="F10" s="136">
        <v>-4090</v>
      </c>
      <c r="H10" s="7"/>
      <c r="M10" s="4"/>
    </row>
    <row r="11" spans="2:13" x14ac:dyDescent="0.2">
      <c r="B11" s="2" t="s">
        <v>8</v>
      </c>
      <c r="E11" s="136">
        <v>-2</v>
      </c>
      <c r="F11" s="136">
        <v>0</v>
      </c>
      <c r="H11" s="7"/>
      <c r="M11" s="4"/>
    </row>
    <row r="12" spans="2:13" x14ac:dyDescent="0.2">
      <c r="B12" s="5" t="s">
        <v>9</v>
      </c>
      <c r="E12" s="139">
        <f>+SUM(E9:E11)</f>
        <v>3771</v>
      </c>
      <c r="F12" s="139">
        <f>+SUM(F9:F11)</f>
        <v>5230</v>
      </c>
      <c r="H12" s="7"/>
    </row>
    <row r="13" spans="2:13" x14ac:dyDescent="0.2">
      <c r="B13" s="2" t="s">
        <v>10</v>
      </c>
      <c r="E13" s="137">
        <f>E8</f>
        <v>-357</v>
      </c>
      <c r="F13" s="137">
        <f>F8</f>
        <v>539</v>
      </c>
      <c r="H13" s="7"/>
    </row>
    <row r="14" spans="2:13" x14ac:dyDescent="0.2">
      <c r="B14" s="5" t="s">
        <v>11</v>
      </c>
      <c r="E14" s="137">
        <f>E11</f>
        <v>-2</v>
      </c>
      <c r="F14" s="137">
        <f>F11</f>
        <v>0</v>
      </c>
      <c r="H14" s="7"/>
      <c r="M14" s="4"/>
    </row>
    <row r="15" spans="2:13" x14ac:dyDescent="0.2">
      <c r="B15" s="5" t="s">
        <v>12</v>
      </c>
      <c r="E15" s="139">
        <f>E12-E13-E14</f>
        <v>4130</v>
      </c>
      <c r="F15" s="139">
        <f>F12-F13-F14</f>
        <v>4691</v>
      </c>
      <c r="H15" s="7"/>
    </row>
    <row r="16" spans="2:13" x14ac:dyDescent="0.2">
      <c r="B16" s="2" t="s">
        <v>49</v>
      </c>
      <c r="E16" s="137">
        <f>E6</f>
        <v>-162</v>
      </c>
      <c r="F16" s="137">
        <f>F6</f>
        <v>0</v>
      </c>
      <c r="H16" s="7"/>
    </row>
    <row r="17" spans="1:17" x14ac:dyDescent="0.2">
      <c r="B17" s="2" t="s">
        <v>50</v>
      </c>
      <c r="E17" s="136">
        <v>0</v>
      </c>
      <c r="F17" s="136">
        <v>0</v>
      </c>
      <c r="H17" s="7"/>
    </row>
    <row r="18" spans="1:17" x14ac:dyDescent="0.2">
      <c r="B18" s="5" t="s">
        <v>14</v>
      </c>
      <c r="E18" s="139">
        <f>E15-E16-E17</f>
        <v>4292</v>
      </c>
      <c r="F18" s="139">
        <f>F15-F16-F17</f>
        <v>4691</v>
      </c>
    </row>
    <row r="19" spans="1:17" x14ac:dyDescent="0.2">
      <c r="B19" s="5"/>
      <c r="E19" s="139"/>
      <c r="F19" s="139"/>
    </row>
    <row r="20" spans="1:17" x14ac:dyDescent="0.2">
      <c r="B20" s="2" t="s">
        <v>15</v>
      </c>
      <c r="C20" s="11"/>
      <c r="D20" s="11"/>
      <c r="E20" s="11"/>
      <c r="F20" s="11"/>
      <c r="G20" s="11"/>
      <c r="H20" s="11"/>
      <c r="I20" s="11"/>
      <c r="J20" s="11"/>
      <c r="K20" s="11"/>
      <c r="L20" s="11"/>
      <c r="M20" s="12"/>
      <c r="N20" s="12"/>
      <c r="O20" s="12"/>
      <c r="P20" s="12"/>
      <c r="Q20" s="12"/>
    </row>
    <row r="21" spans="1:17" ht="15" thickBot="1" x14ac:dyDescent="0.25">
      <c r="A21" s="103"/>
      <c r="B21" s="83"/>
      <c r="C21" s="83"/>
      <c r="D21" s="83"/>
      <c r="E21" s="83"/>
      <c r="F21" s="83"/>
      <c r="G21" s="83"/>
    </row>
    <row r="22" spans="1:17" ht="14.25" customHeight="1" x14ac:dyDescent="0.2">
      <c r="A22" s="103"/>
      <c r="B22" s="144" t="s">
        <v>225</v>
      </c>
      <c r="C22" s="145"/>
      <c r="D22" s="84"/>
      <c r="E22" s="84"/>
      <c r="F22" s="84"/>
      <c r="G22" s="85"/>
    </row>
    <row r="23" spans="1:17" ht="14.25" customHeight="1" x14ac:dyDescent="0.2">
      <c r="A23" s="103"/>
      <c r="B23" s="146"/>
      <c r="C23" s="147"/>
      <c r="D23" s="103"/>
      <c r="E23" s="103"/>
      <c r="F23" s="97">
        <v>2026</v>
      </c>
      <c r="G23" s="87"/>
    </row>
    <row r="24" spans="1:17" ht="14.25" x14ac:dyDescent="0.2">
      <c r="A24" s="103"/>
      <c r="B24" s="88" t="s">
        <v>37</v>
      </c>
      <c r="C24" s="103"/>
      <c r="D24" s="103"/>
      <c r="E24" s="103"/>
      <c r="F24" s="98" t="s">
        <v>219</v>
      </c>
      <c r="G24" s="89"/>
    </row>
    <row r="25" spans="1:17" ht="14.25" x14ac:dyDescent="0.2">
      <c r="A25" s="103"/>
      <c r="B25" s="88" t="s">
        <v>222</v>
      </c>
      <c r="C25" s="103"/>
      <c r="D25" s="103"/>
      <c r="E25" s="103"/>
      <c r="F25" s="98" t="s">
        <v>220</v>
      </c>
      <c r="G25" s="89"/>
    </row>
    <row r="26" spans="1:17" ht="14.25" x14ac:dyDescent="0.2">
      <c r="A26" s="103"/>
      <c r="B26" s="88" t="s">
        <v>21</v>
      </c>
      <c r="C26" s="103"/>
      <c r="D26" s="103"/>
      <c r="E26" s="103"/>
      <c r="F26" s="76" t="s">
        <v>22</v>
      </c>
      <c r="G26" s="90"/>
    </row>
    <row r="27" spans="1:17" ht="14.25" x14ac:dyDescent="0.2">
      <c r="A27" s="103"/>
      <c r="B27" s="88"/>
      <c r="C27" s="103"/>
      <c r="D27" s="103"/>
      <c r="E27" s="103"/>
      <c r="F27" s="76"/>
      <c r="G27" s="90"/>
    </row>
    <row r="28" spans="1:17" ht="14.25" x14ac:dyDescent="0.2">
      <c r="A28" s="103"/>
      <c r="B28" s="88" t="s">
        <v>223</v>
      </c>
      <c r="C28" s="103"/>
      <c r="D28" s="103"/>
      <c r="E28" s="103"/>
      <c r="F28" s="76" t="s">
        <v>221</v>
      </c>
      <c r="G28" s="90"/>
    </row>
    <row r="29" spans="1:17" ht="14.25" x14ac:dyDescent="0.2">
      <c r="A29" s="103"/>
      <c r="B29" s="88" t="s">
        <v>202</v>
      </c>
      <c r="C29" s="103"/>
      <c r="D29" s="103"/>
      <c r="E29" s="103"/>
      <c r="F29" s="76" t="s">
        <v>218</v>
      </c>
      <c r="G29" s="90"/>
    </row>
    <row r="30" spans="1:17" ht="14.25" x14ac:dyDescent="0.2">
      <c r="A30" s="103"/>
      <c r="B30" s="88"/>
      <c r="C30" s="103"/>
      <c r="D30" s="103"/>
      <c r="E30" s="103"/>
      <c r="F30" s="76"/>
      <c r="G30" s="90"/>
    </row>
    <row r="31" spans="1:17" ht="14.25" x14ac:dyDescent="0.2">
      <c r="A31" s="103"/>
      <c r="B31" s="21"/>
      <c r="C31" s="103"/>
      <c r="D31" s="103"/>
      <c r="E31" s="103"/>
      <c r="F31" s="76"/>
      <c r="G31" s="90"/>
    </row>
    <row r="32" spans="1:17" ht="14.25" x14ac:dyDescent="0.2">
      <c r="A32" s="103"/>
      <c r="B32" s="127" t="s">
        <v>224</v>
      </c>
      <c r="C32" s="103"/>
      <c r="D32" s="103"/>
      <c r="E32" s="103"/>
      <c r="F32" s="76"/>
      <c r="G32" s="90"/>
    </row>
    <row r="33" spans="1:7" ht="14.25" x14ac:dyDescent="0.2">
      <c r="A33" s="103"/>
      <c r="B33" s="127" t="s">
        <v>29</v>
      </c>
      <c r="C33" s="103"/>
      <c r="D33" s="103"/>
      <c r="E33" s="103"/>
      <c r="F33" s="76"/>
      <c r="G33" s="90"/>
    </row>
    <row r="34" spans="1:7" ht="14.25" x14ac:dyDescent="0.2">
      <c r="A34" s="103"/>
      <c r="B34" s="127" t="s">
        <v>213</v>
      </c>
      <c r="C34" s="103"/>
      <c r="D34" s="103"/>
      <c r="E34" s="103"/>
      <c r="F34" s="76"/>
      <c r="G34" s="90"/>
    </row>
    <row r="35" spans="1:7" ht="15" thickBot="1" x14ac:dyDescent="0.25">
      <c r="A35" s="103"/>
      <c r="B35" s="128" t="s">
        <v>211</v>
      </c>
      <c r="C35" s="92"/>
      <c r="D35" s="92"/>
      <c r="E35" s="92"/>
      <c r="F35" s="92"/>
      <c r="G35" s="93"/>
    </row>
    <row r="36" spans="1:7" ht="14.25" x14ac:dyDescent="0.2">
      <c r="A36" s="103"/>
      <c r="B36" s="94"/>
      <c r="C36" s="103"/>
      <c r="D36" s="103"/>
      <c r="E36" s="103"/>
      <c r="F36" s="103"/>
      <c r="G36" s="76"/>
    </row>
    <row r="37" spans="1:7" ht="14.25" x14ac:dyDescent="0.2">
      <c r="A37" s="103"/>
      <c r="B37" s="100"/>
      <c r="C37" s="103"/>
      <c r="D37" s="103"/>
      <c r="E37" s="103"/>
      <c r="F37" s="103"/>
      <c r="G37" s="76"/>
    </row>
    <row r="38" spans="1:7" x14ac:dyDescent="0.2">
      <c r="B38" s="33"/>
    </row>
    <row r="43" spans="1:7" x14ac:dyDescent="0.2">
      <c r="F43" s="46"/>
    </row>
    <row r="45" spans="1:7" x14ac:dyDescent="0.2"/>
  </sheetData>
  <mergeCells count="1">
    <mergeCell ref="B22:C23"/>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938F3-42C9-4821-B0EC-E5F3D11F0466}">
  <sheetPr>
    <tabColor theme="0" tint="-0.14999847407452621"/>
  </sheetPr>
  <dimension ref="A2:Q45"/>
  <sheetViews>
    <sheetView showGridLines="0" zoomScaleNormal="100" workbookViewId="0"/>
  </sheetViews>
  <sheetFormatPr defaultColWidth="9.140625" defaultRowHeight="12.75" x14ac:dyDescent="0.2"/>
  <cols>
    <col min="1" max="1" width="3.42578125" style="2" customWidth="1"/>
    <col min="2" max="2" width="37.140625" style="2" customWidth="1"/>
    <col min="3" max="3" width="9.140625" style="2"/>
    <col min="4" max="4" width="8.42578125" style="2" customWidth="1"/>
    <col min="5" max="5" width="9.85546875" style="2" customWidth="1"/>
    <col min="6" max="6" width="43.42578125" style="2" customWidth="1"/>
    <col min="7" max="7" width="59"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210</v>
      </c>
      <c r="E2" s="47"/>
      <c r="F2" s="47"/>
    </row>
    <row r="3" spans="2:13" ht="25.5" x14ac:dyDescent="0.2">
      <c r="B3" s="2" t="s">
        <v>0</v>
      </c>
      <c r="E3" s="141" t="s">
        <v>206</v>
      </c>
      <c r="F3" s="140" t="s">
        <v>207</v>
      </c>
      <c r="H3" s="3"/>
    </row>
    <row r="4" spans="2:13" x14ac:dyDescent="0.2">
      <c r="M4" s="4"/>
    </row>
    <row r="5" spans="2:13" x14ac:dyDescent="0.2">
      <c r="B5" s="5" t="s">
        <v>3</v>
      </c>
      <c r="E5" s="102">
        <f>E7-E6</f>
        <v>8012</v>
      </c>
      <c r="F5" s="102">
        <f>F7-F6</f>
        <v>8169</v>
      </c>
      <c r="H5" s="7"/>
      <c r="M5" s="4"/>
    </row>
    <row r="6" spans="2:13" x14ac:dyDescent="0.2">
      <c r="B6" s="96" t="s">
        <v>4</v>
      </c>
      <c r="E6" s="134">
        <v>34</v>
      </c>
      <c r="F6" s="7">
        <v>-100</v>
      </c>
      <c r="H6" s="7"/>
      <c r="M6" s="4"/>
    </row>
    <row r="7" spans="2:13" x14ac:dyDescent="0.2">
      <c r="B7" s="5" t="s">
        <v>189</v>
      </c>
      <c r="E7" s="135">
        <f>+E9-E8</f>
        <v>8046</v>
      </c>
      <c r="F7" s="135">
        <f>+F9-F8</f>
        <v>8069</v>
      </c>
      <c r="H7" s="7"/>
    </row>
    <row r="8" spans="2:13" x14ac:dyDescent="0.2">
      <c r="B8" s="2" t="s">
        <v>5</v>
      </c>
      <c r="E8" s="136">
        <f>-240+32</f>
        <v>-208</v>
      </c>
      <c r="F8" s="7">
        <f>17+(-215)</f>
        <v>-198</v>
      </c>
      <c r="H8" s="7"/>
    </row>
    <row r="9" spans="2:13" x14ac:dyDescent="0.2">
      <c r="B9" s="5" t="s">
        <v>6</v>
      </c>
      <c r="E9" s="138">
        <v>7838</v>
      </c>
      <c r="F9" s="138">
        <v>7871</v>
      </c>
      <c r="H9" s="7"/>
    </row>
    <row r="10" spans="2:13" x14ac:dyDescent="0.2">
      <c r="B10" s="2" t="s">
        <v>7</v>
      </c>
      <c r="E10" s="136">
        <v>-3931</v>
      </c>
      <c r="F10" s="136">
        <v>-4038</v>
      </c>
      <c r="H10" s="7"/>
      <c r="M10" s="4"/>
    </row>
    <row r="11" spans="2:13" x14ac:dyDescent="0.2">
      <c r="B11" s="2" t="s">
        <v>8</v>
      </c>
      <c r="E11" s="136">
        <v>2</v>
      </c>
      <c r="F11" s="136">
        <v>0</v>
      </c>
      <c r="H11" s="7"/>
      <c r="M11" s="4"/>
    </row>
    <row r="12" spans="2:13" x14ac:dyDescent="0.2">
      <c r="B12" s="5" t="s">
        <v>9</v>
      </c>
      <c r="E12" s="139">
        <f>+SUM(E9:E11)</f>
        <v>3909</v>
      </c>
      <c r="F12" s="139">
        <f>+SUM(F9:F11)</f>
        <v>3833</v>
      </c>
      <c r="H12" s="7"/>
    </row>
    <row r="13" spans="2:13" x14ac:dyDescent="0.2">
      <c r="B13" s="2" t="s">
        <v>10</v>
      </c>
      <c r="E13" s="137">
        <f>E8</f>
        <v>-208</v>
      </c>
      <c r="F13" s="137">
        <f>F8</f>
        <v>-198</v>
      </c>
      <c r="H13" s="7"/>
    </row>
    <row r="14" spans="2:13" x14ac:dyDescent="0.2">
      <c r="B14" s="5" t="s">
        <v>11</v>
      </c>
      <c r="E14" s="137">
        <f>E11</f>
        <v>2</v>
      </c>
      <c r="F14" s="137">
        <f>F11</f>
        <v>0</v>
      </c>
      <c r="H14" s="7"/>
      <c r="M14" s="4"/>
    </row>
    <row r="15" spans="2:13" x14ac:dyDescent="0.2">
      <c r="B15" s="5" t="s">
        <v>12</v>
      </c>
      <c r="E15" s="139">
        <f>E12-E13-E14</f>
        <v>4115</v>
      </c>
      <c r="F15" s="139">
        <f>F12-F13-F14</f>
        <v>4031</v>
      </c>
      <c r="H15" s="7"/>
    </row>
    <row r="16" spans="2:13" x14ac:dyDescent="0.2">
      <c r="B16" s="2" t="s">
        <v>49</v>
      </c>
      <c r="E16" s="137">
        <f>E6</f>
        <v>34</v>
      </c>
      <c r="F16" s="137">
        <f>F6</f>
        <v>-100</v>
      </c>
      <c r="H16" s="7"/>
    </row>
    <row r="17" spans="1:17" x14ac:dyDescent="0.2">
      <c r="B17" s="2" t="s">
        <v>50</v>
      </c>
      <c r="E17" s="136">
        <v>0</v>
      </c>
      <c r="F17" s="136">
        <v>0</v>
      </c>
      <c r="H17" s="7"/>
    </row>
    <row r="18" spans="1:17" x14ac:dyDescent="0.2">
      <c r="B18" s="5" t="s">
        <v>14</v>
      </c>
      <c r="E18" s="139">
        <f>E15-E16-E17</f>
        <v>4081</v>
      </c>
      <c r="F18" s="139">
        <f>F15-F16-F17</f>
        <v>4131</v>
      </c>
    </row>
    <row r="19" spans="1:17" x14ac:dyDescent="0.2">
      <c r="B19" s="5"/>
      <c r="E19" s="139"/>
      <c r="F19" s="139"/>
    </row>
    <row r="20" spans="1:17" x14ac:dyDescent="0.2">
      <c r="B20" s="2" t="s">
        <v>15</v>
      </c>
      <c r="C20" s="11"/>
      <c r="D20" s="11"/>
      <c r="E20" s="11"/>
      <c r="F20" s="11"/>
      <c r="G20" s="11"/>
      <c r="H20" s="11"/>
      <c r="I20" s="11"/>
      <c r="J20" s="11"/>
      <c r="K20" s="11"/>
      <c r="L20" s="11"/>
      <c r="M20" s="12"/>
      <c r="N20" s="12"/>
      <c r="O20" s="12"/>
      <c r="P20" s="12"/>
      <c r="Q20" s="12"/>
    </row>
    <row r="21" spans="1:17" ht="15" thickBot="1" x14ac:dyDescent="0.25">
      <c r="A21" s="103"/>
      <c r="B21" s="83"/>
      <c r="C21" s="83"/>
      <c r="D21" s="83"/>
      <c r="E21" s="83"/>
      <c r="F21" s="83"/>
      <c r="G21" s="83"/>
    </row>
    <row r="22" spans="1:17" ht="14.25" customHeight="1" x14ac:dyDescent="0.2">
      <c r="A22" s="103"/>
      <c r="B22" s="144" t="s">
        <v>200</v>
      </c>
      <c r="C22" s="145"/>
      <c r="D22" s="84"/>
      <c r="E22" s="84"/>
      <c r="F22" s="84"/>
      <c r="G22" s="85"/>
    </row>
    <row r="23" spans="1:17" ht="14.25" customHeight="1" x14ac:dyDescent="0.2">
      <c r="A23" s="103"/>
      <c r="B23" s="146"/>
      <c r="C23" s="147"/>
      <c r="D23" s="103"/>
      <c r="E23" s="103"/>
      <c r="F23" s="97">
        <v>2026</v>
      </c>
      <c r="G23" s="87"/>
    </row>
    <row r="24" spans="1:17" ht="14.25" x14ac:dyDescent="0.2">
      <c r="A24" s="103"/>
      <c r="B24" s="88" t="s">
        <v>37</v>
      </c>
      <c r="C24" s="103"/>
      <c r="D24" s="103"/>
      <c r="E24" s="103"/>
      <c r="F24" s="98" t="s">
        <v>18</v>
      </c>
      <c r="G24" s="89"/>
    </row>
    <row r="25" spans="1:17" ht="14.25" x14ac:dyDescent="0.2">
      <c r="A25" s="103"/>
      <c r="B25" s="88" t="s">
        <v>19</v>
      </c>
      <c r="C25" s="103"/>
      <c r="D25" s="103"/>
      <c r="E25" s="103"/>
      <c r="F25" s="98" t="s">
        <v>208</v>
      </c>
      <c r="G25" s="89"/>
    </row>
    <row r="26" spans="1:17" ht="14.25" x14ac:dyDescent="0.2">
      <c r="A26" s="103"/>
      <c r="B26" s="88" t="s">
        <v>21</v>
      </c>
      <c r="C26" s="103"/>
      <c r="D26" s="103"/>
      <c r="E26" s="103"/>
      <c r="F26" s="76" t="s">
        <v>22</v>
      </c>
      <c r="G26" s="90"/>
    </row>
    <row r="27" spans="1:17" ht="14.25" x14ac:dyDescent="0.2">
      <c r="A27" s="103"/>
      <c r="B27" s="88"/>
      <c r="C27" s="103"/>
      <c r="D27" s="103"/>
      <c r="E27" s="103"/>
      <c r="F27" s="76"/>
      <c r="G27" s="90"/>
    </row>
    <row r="28" spans="1:17" ht="14.25" x14ac:dyDescent="0.2">
      <c r="A28" s="103"/>
      <c r="B28" s="88" t="s">
        <v>23</v>
      </c>
      <c r="C28" s="103"/>
      <c r="D28" s="103"/>
      <c r="E28" s="103"/>
      <c r="F28" s="76" t="s">
        <v>209</v>
      </c>
      <c r="G28" s="90"/>
    </row>
    <row r="29" spans="1:17" ht="14.25" x14ac:dyDescent="0.2">
      <c r="A29" s="103"/>
      <c r="B29" s="88" t="s">
        <v>202</v>
      </c>
      <c r="C29" s="103"/>
      <c r="D29" s="103"/>
      <c r="E29" s="103"/>
      <c r="F29" s="76" t="s">
        <v>203</v>
      </c>
      <c r="G29" s="90"/>
    </row>
    <row r="30" spans="1:17" ht="14.25" x14ac:dyDescent="0.2">
      <c r="A30" s="103"/>
      <c r="B30" s="88"/>
      <c r="C30" s="103"/>
      <c r="D30" s="103"/>
      <c r="E30" s="103"/>
      <c r="F30" s="76"/>
      <c r="G30" s="90"/>
    </row>
    <row r="31" spans="1:17" ht="14.25" x14ac:dyDescent="0.2">
      <c r="A31" s="103"/>
      <c r="B31" s="21"/>
      <c r="C31" s="103"/>
      <c r="D31" s="103"/>
      <c r="E31" s="103"/>
      <c r="F31" s="76"/>
      <c r="G31" s="90"/>
    </row>
    <row r="32" spans="1:17" ht="14.25" x14ac:dyDescent="0.2">
      <c r="A32" s="103"/>
      <c r="B32" s="127" t="s">
        <v>212</v>
      </c>
      <c r="C32" s="103"/>
      <c r="D32" s="103"/>
      <c r="E32" s="103"/>
      <c r="F32" s="76"/>
      <c r="G32" s="90"/>
    </row>
    <row r="33" spans="1:7" ht="14.25" x14ac:dyDescent="0.2">
      <c r="A33" s="103"/>
      <c r="B33" s="127" t="s">
        <v>29</v>
      </c>
      <c r="C33" s="103"/>
      <c r="D33" s="103"/>
      <c r="E33" s="103"/>
      <c r="F33" s="76"/>
      <c r="G33" s="90"/>
    </row>
    <row r="34" spans="1:7" ht="14.25" x14ac:dyDescent="0.2">
      <c r="A34" s="103"/>
      <c r="B34" s="127" t="s">
        <v>213</v>
      </c>
      <c r="C34" s="103"/>
      <c r="D34" s="103"/>
      <c r="E34" s="103"/>
      <c r="F34" s="76"/>
      <c r="G34" s="90"/>
    </row>
    <row r="35" spans="1:7" ht="15" thickBot="1" x14ac:dyDescent="0.25">
      <c r="A35" s="103"/>
      <c r="B35" s="128" t="s">
        <v>211</v>
      </c>
      <c r="C35" s="92"/>
      <c r="D35" s="92"/>
      <c r="E35" s="92"/>
      <c r="F35" s="92"/>
      <c r="G35" s="93"/>
    </row>
    <row r="36" spans="1:7" ht="14.25" x14ac:dyDescent="0.2">
      <c r="A36" s="103"/>
      <c r="B36" s="94"/>
      <c r="C36" s="103"/>
      <c r="D36" s="103"/>
      <c r="E36" s="103"/>
      <c r="F36" s="103"/>
      <c r="G36" s="76"/>
    </row>
    <row r="37" spans="1:7" ht="14.25" x14ac:dyDescent="0.2">
      <c r="A37" s="103"/>
      <c r="B37" s="100"/>
      <c r="C37" s="103"/>
      <c r="D37" s="103"/>
      <c r="E37" s="103"/>
      <c r="F37" s="103"/>
      <c r="G37" s="76"/>
    </row>
    <row r="38" spans="1:7" x14ac:dyDescent="0.2">
      <c r="B38" s="33"/>
    </row>
    <row r="43" spans="1:7" x14ac:dyDescent="0.2">
      <c r="F43" s="46"/>
    </row>
    <row r="45" spans="1:7" x14ac:dyDescent="0.2"/>
  </sheetData>
  <mergeCells count="1">
    <mergeCell ref="B22:C23"/>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5E327-8430-4BF9-A88C-170500C55F26}">
  <sheetPr>
    <tabColor theme="0" tint="-0.14999847407452621"/>
  </sheetPr>
  <dimension ref="A2:Q44"/>
  <sheetViews>
    <sheetView showGridLines="0" zoomScale="110" zoomScaleNormal="110" workbookViewId="0"/>
  </sheetViews>
  <sheetFormatPr defaultColWidth="9.140625" defaultRowHeight="12.75" x14ac:dyDescent="0.2"/>
  <cols>
    <col min="1" max="1" width="3.42578125" style="2" customWidth="1"/>
    <col min="2" max="2" width="37.140625" style="2" customWidth="1"/>
    <col min="3" max="3" width="9.140625" style="2"/>
    <col min="4" max="4" width="8.42578125" style="2" customWidth="1"/>
    <col min="5" max="5" width="9.85546875" style="2" customWidth="1"/>
    <col min="6" max="6" width="43.42578125" style="2" customWidth="1"/>
    <col min="7" max="7" width="59"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205</v>
      </c>
      <c r="E2" s="47"/>
      <c r="F2" s="47"/>
    </row>
    <row r="3" spans="2:13" ht="25.5" x14ac:dyDescent="0.2">
      <c r="B3" s="2" t="s">
        <v>0</v>
      </c>
      <c r="E3" s="141" t="s">
        <v>201</v>
      </c>
      <c r="F3" s="140" t="s">
        <v>204</v>
      </c>
      <c r="H3" s="3"/>
    </row>
    <row r="4" spans="2:13" x14ac:dyDescent="0.2">
      <c r="M4" s="4"/>
    </row>
    <row r="5" spans="2:13" x14ac:dyDescent="0.2">
      <c r="B5" s="5" t="s">
        <v>3</v>
      </c>
      <c r="E5" s="102">
        <f>E7-E6</f>
        <v>8486</v>
      </c>
      <c r="F5" s="102">
        <f>F7-F6</f>
        <v>8088</v>
      </c>
      <c r="H5" s="7"/>
      <c r="M5" s="4"/>
    </row>
    <row r="6" spans="2:13" x14ac:dyDescent="0.2">
      <c r="B6" s="96" t="s">
        <v>4</v>
      </c>
      <c r="E6" s="134">
        <v>75</v>
      </c>
      <c r="F6" s="7">
        <f>-(43+37+90)</f>
        <v>-170</v>
      </c>
      <c r="H6" s="7"/>
      <c r="M6" s="4"/>
    </row>
    <row r="7" spans="2:13" x14ac:dyDescent="0.2">
      <c r="B7" s="5" t="s">
        <v>189</v>
      </c>
      <c r="E7" s="135">
        <f>+E9-E8</f>
        <v>8561</v>
      </c>
      <c r="F7" s="135">
        <f>+F9-F8</f>
        <v>7918</v>
      </c>
      <c r="H7" s="7"/>
    </row>
    <row r="8" spans="2:13" x14ac:dyDescent="0.2">
      <c r="B8" s="2" t="s">
        <v>5</v>
      </c>
      <c r="E8" s="136">
        <v>-437</v>
      </c>
      <c r="F8" s="136">
        <v>-257</v>
      </c>
      <c r="H8" s="7"/>
    </row>
    <row r="9" spans="2:13" x14ac:dyDescent="0.2">
      <c r="B9" s="5" t="s">
        <v>6</v>
      </c>
      <c r="E9" s="138">
        <v>8124</v>
      </c>
      <c r="F9" s="138">
        <v>7661</v>
      </c>
      <c r="H9" s="7"/>
    </row>
    <row r="10" spans="2:13" x14ac:dyDescent="0.2">
      <c r="B10" s="2" t="s">
        <v>7</v>
      </c>
      <c r="E10" s="136">
        <v>-4091</v>
      </c>
      <c r="F10" s="136">
        <v>-4039</v>
      </c>
      <c r="H10" s="7"/>
      <c r="M10" s="4"/>
    </row>
    <row r="11" spans="2:13" x14ac:dyDescent="0.2">
      <c r="B11" s="2" t="s">
        <v>8</v>
      </c>
      <c r="E11" s="136">
        <v>-2</v>
      </c>
      <c r="F11" s="136">
        <v>-68</v>
      </c>
      <c r="H11" s="7"/>
      <c r="M11" s="4"/>
    </row>
    <row r="12" spans="2:13" x14ac:dyDescent="0.2">
      <c r="B12" s="5" t="s">
        <v>9</v>
      </c>
      <c r="E12" s="139">
        <f>+SUM(E9:E11)</f>
        <v>4031</v>
      </c>
      <c r="F12" s="139">
        <f>+SUM(F9:F11)</f>
        <v>3554</v>
      </c>
      <c r="H12" s="7"/>
    </row>
    <row r="13" spans="2:13" x14ac:dyDescent="0.2">
      <c r="B13" s="2" t="s">
        <v>10</v>
      </c>
      <c r="E13" s="137">
        <f>E8</f>
        <v>-437</v>
      </c>
      <c r="F13" s="137">
        <f>F8</f>
        <v>-257</v>
      </c>
      <c r="H13" s="7"/>
    </row>
    <row r="14" spans="2:13" x14ac:dyDescent="0.2">
      <c r="B14" s="5" t="s">
        <v>11</v>
      </c>
      <c r="E14" s="137">
        <f>E11</f>
        <v>-2</v>
      </c>
      <c r="F14" s="137">
        <f>F11</f>
        <v>-68</v>
      </c>
      <c r="H14" s="7"/>
      <c r="M14" s="4"/>
    </row>
    <row r="15" spans="2:13" x14ac:dyDescent="0.2">
      <c r="B15" s="5" t="s">
        <v>12</v>
      </c>
      <c r="E15" s="139">
        <f>E12-E13-E14</f>
        <v>4470</v>
      </c>
      <c r="F15" s="139">
        <f>F12-F13-F14</f>
        <v>3879</v>
      </c>
      <c r="H15" s="7"/>
    </row>
    <row r="16" spans="2:13" x14ac:dyDescent="0.2">
      <c r="B16" s="2" t="s">
        <v>49</v>
      </c>
      <c r="E16" s="137">
        <f>E6</f>
        <v>75</v>
      </c>
      <c r="F16" s="137">
        <f>F6</f>
        <v>-170</v>
      </c>
      <c r="H16" s="7"/>
    </row>
    <row r="17" spans="1:17" x14ac:dyDescent="0.2">
      <c r="B17" s="2" t="s">
        <v>50</v>
      </c>
      <c r="E17" s="136">
        <v>0</v>
      </c>
      <c r="F17" s="136">
        <v>0</v>
      </c>
      <c r="H17" s="7"/>
    </row>
    <row r="18" spans="1:17" x14ac:dyDescent="0.2">
      <c r="B18" s="5" t="s">
        <v>14</v>
      </c>
      <c r="E18" s="139">
        <f>E15-E16-E17</f>
        <v>4395</v>
      </c>
      <c r="F18" s="139">
        <f>F15-F16-F17</f>
        <v>4049</v>
      </c>
    </row>
    <row r="19" spans="1:17" x14ac:dyDescent="0.2">
      <c r="B19" s="5"/>
      <c r="E19" s="139"/>
      <c r="F19" s="139"/>
    </row>
    <row r="20" spans="1:17" x14ac:dyDescent="0.2">
      <c r="B20" s="2" t="s">
        <v>15</v>
      </c>
      <c r="C20" s="11"/>
      <c r="D20" s="11"/>
      <c r="E20" s="11"/>
      <c r="F20" s="11"/>
      <c r="G20" s="11"/>
      <c r="H20" s="11"/>
      <c r="I20" s="11"/>
      <c r="J20" s="11"/>
      <c r="K20" s="11"/>
      <c r="L20" s="11"/>
      <c r="M20" s="12"/>
      <c r="N20" s="12"/>
      <c r="O20" s="12"/>
      <c r="P20" s="12"/>
      <c r="Q20" s="12"/>
    </row>
    <row r="21" spans="1:17" ht="15" thickBot="1" x14ac:dyDescent="0.25">
      <c r="A21" s="103"/>
      <c r="B21" s="83"/>
      <c r="C21" s="83"/>
      <c r="D21" s="83"/>
      <c r="E21" s="83"/>
      <c r="F21" s="83"/>
      <c r="G21" s="83"/>
    </row>
    <row r="22" spans="1:17" ht="14.25" customHeight="1" x14ac:dyDescent="0.2">
      <c r="A22" s="103"/>
      <c r="B22" s="144" t="s">
        <v>200</v>
      </c>
      <c r="C22" s="145"/>
      <c r="D22" s="84"/>
      <c r="E22" s="84"/>
      <c r="F22" s="84"/>
      <c r="G22" s="85"/>
    </row>
    <row r="23" spans="1:17" ht="14.25" customHeight="1" x14ac:dyDescent="0.2">
      <c r="A23" s="103"/>
      <c r="B23" s="146"/>
      <c r="C23" s="147"/>
      <c r="D23" s="103"/>
      <c r="E23" s="103"/>
      <c r="F23" s="97">
        <v>2026</v>
      </c>
      <c r="G23" s="87"/>
    </row>
    <row r="24" spans="1:17" ht="14.25" x14ac:dyDescent="0.2">
      <c r="A24" s="103"/>
      <c r="B24" s="88" t="s">
        <v>37</v>
      </c>
      <c r="C24" s="103"/>
      <c r="D24" s="103"/>
      <c r="E24" s="103"/>
      <c r="F24" s="98" t="s">
        <v>18</v>
      </c>
      <c r="G24" s="89"/>
    </row>
    <row r="25" spans="1:17" ht="14.25" x14ac:dyDescent="0.2">
      <c r="A25" s="103"/>
      <c r="B25" s="88" t="s">
        <v>19</v>
      </c>
      <c r="C25" s="103"/>
      <c r="D25" s="103"/>
      <c r="E25" s="103"/>
      <c r="F25" s="98" t="s">
        <v>20</v>
      </c>
      <c r="G25" s="89"/>
    </row>
    <row r="26" spans="1:17" ht="14.25" x14ac:dyDescent="0.2">
      <c r="A26" s="103"/>
      <c r="B26" s="88" t="s">
        <v>21</v>
      </c>
      <c r="C26" s="103"/>
      <c r="D26" s="103"/>
      <c r="E26" s="103"/>
      <c r="F26" s="76" t="s">
        <v>22</v>
      </c>
      <c r="G26" s="90"/>
    </row>
    <row r="27" spans="1:17" ht="14.25" x14ac:dyDescent="0.2">
      <c r="A27" s="103"/>
      <c r="B27" s="88"/>
      <c r="C27" s="103"/>
      <c r="D27" s="103"/>
      <c r="E27" s="103"/>
      <c r="F27" s="76"/>
      <c r="G27" s="90"/>
    </row>
    <row r="28" spans="1:17" ht="14.25" x14ac:dyDescent="0.2">
      <c r="A28" s="103"/>
      <c r="B28" s="88" t="s">
        <v>23</v>
      </c>
      <c r="C28" s="103"/>
      <c r="D28" s="103"/>
      <c r="E28" s="103"/>
      <c r="F28" s="76" t="s">
        <v>24</v>
      </c>
      <c r="G28" s="90"/>
    </row>
    <row r="29" spans="1:17" ht="14.25" x14ac:dyDescent="0.2">
      <c r="A29" s="103"/>
      <c r="B29" s="88" t="s">
        <v>202</v>
      </c>
      <c r="C29" s="103"/>
      <c r="D29" s="103"/>
      <c r="E29" s="103"/>
      <c r="F29" s="76" t="s">
        <v>203</v>
      </c>
      <c r="G29" s="90"/>
    </row>
    <row r="30" spans="1:17" ht="14.25" x14ac:dyDescent="0.2">
      <c r="A30" s="103"/>
      <c r="B30" s="88"/>
      <c r="C30" s="103"/>
      <c r="D30" s="103"/>
      <c r="E30" s="103"/>
      <c r="F30" s="76"/>
      <c r="G30" s="90"/>
    </row>
    <row r="31" spans="1:17" ht="14.25" x14ac:dyDescent="0.2">
      <c r="A31" s="103"/>
      <c r="B31" s="21"/>
      <c r="C31" s="103"/>
      <c r="D31" s="103"/>
      <c r="E31" s="103"/>
      <c r="F31" s="76"/>
      <c r="G31" s="90"/>
    </row>
    <row r="32" spans="1:17" ht="14.25" x14ac:dyDescent="0.2">
      <c r="A32" s="103"/>
      <c r="B32" s="127" t="s">
        <v>183</v>
      </c>
      <c r="C32" s="103"/>
      <c r="D32" s="103"/>
      <c r="E32" s="103"/>
      <c r="F32" s="76"/>
      <c r="G32" s="90"/>
    </row>
    <row r="33" spans="1:7" ht="14.25" x14ac:dyDescent="0.2">
      <c r="A33" s="103"/>
      <c r="B33" s="127" t="s">
        <v>29</v>
      </c>
      <c r="C33" s="103"/>
      <c r="D33" s="103"/>
      <c r="E33" s="103"/>
      <c r="F33" s="76"/>
      <c r="G33" s="90"/>
    </row>
    <row r="34" spans="1:7" ht="15" thickBot="1" x14ac:dyDescent="0.25">
      <c r="A34" s="103"/>
      <c r="B34" s="128" t="s">
        <v>214</v>
      </c>
      <c r="C34" s="92"/>
      <c r="D34" s="92"/>
      <c r="E34" s="92"/>
      <c r="F34" s="92"/>
      <c r="G34" s="93"/>
    </row>
    <row r="35" spans="1:7" ht="14.25" x14ac:dyDescent="0.2">
      <c r="A35" s="103"/>
      <c r="B35" s="94"/>
      <c r="C35" s="103"/>
      <c r="D35" s="103"/>
      <c r="E35" s="103"/>
      <c r="F35" s="103"/>
      <c r="G35" s="76"/>
    </row>
    <row r="36" spans="1:7" ht="14.25" x14ac:dyDescent="0.2">
      <c r="A36" s="103"/>
      <c r="B36" s="100"/>
      <c r="C36" s="103"/>
      <c r="D36" s="103"/>
      <c r="E36" s="103"/>
      <c r="F36" s="103"/>
      <c r="G36" s="76"/>
    </row>
    <row r="37" spans="1:7" x14ac:dyDescent="0.2">
      <c r="B37" s="33"/>
    </row>
    <row r="42" spans="1:7" x14ac:dyDescent="0.2">
      <c r="F42" s="46"/>
    </row>
    <row r="44" spans="1:7" x14ac:dyDescent="0.2"/>
  </sheetData>
  <mergeCells count="1">
    <mergeCell ref="B22:C23"/>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9A566-AECB-4F3E-BCE1-41E0F570E402}">
  <sheetPr>
    <tabColor theme="0" tint="-0.14999847407452621"/>
  </sheetPr>
  <dimension ref="A2:Q42"/>
  <sheetViews>
    <sheetView showGridLines="0" zoomScale="110" zoomScaleNormal="110" workbookViewId="0">
      <selection activeCell="F7" sqref="F7:F8"/>
    </sheetView>
  </sheetViews>
  <sheetFormatPr defaultColWidth="9.140625" defaultRowHeight="12.75" x14ac:dyDescent="0.2"/>
  <cols>
    <col min="1" max="1" width="3.42578125" style="2" customWidth="1"/>
    <col min="2" max="2" width="37.140625" style="2" customWidth="1"/>
    <col min="3" max="3" width="9.140625" style="2"/>
    <col min="4" max="4" width="21.5703125" style="2" customWidth="1"/>
    <col min="5" max="5" width="9.85546875" style="2" customWidth="1"/>
    <col min="6" max="6" width="33" style="2" customWidth="1"/>
    <col min="7" max="7" width="59"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199</v>
      </c>
      <c r="E2" s="47"/>
      <c r="F2" s="47"/>
    </row>
    <row r="3" spans="2:13" x14ac:dyDescent="0.2">
      <c r="B3" s="2" t="s">
        <v>0</v>
      </c>
      <c r="E3" s="3" t="s">
        <v>195</v>
      </c>
      <c r="F3" s="3" t="s">
        <v>35</v>
      </c>
      <c r="H3" s="3"/>
    </row>
    <row r="4" spans="2:13" x14ac:dyDescent="0.2">
      <c r="M4" s="4"/>
    </row>
    <row r="5" spans="2:13" x14ac:dyDescent="0.2">
      <c r="B5" s="5" t="s">
        <v>3</v>
      </c>
      <c r="E5" s="133">
        <f>E7-E6</f>
        <v>9614</v>
      </c>
      <c r="F5" s="133">
        <f>F7-F6</f>
        <v>9179</v>
      </c>
      <c r="H5" s="7"/>
      <c r="M5" s="4"/>
    </row>
    <row r="6" spans="2:13" x14ac:dyDescent="0.2">
      <c r="B6" s="96" t="s">
        <v>4</v>
      </c>
      <c r="E6" s="134">
        <v>-70</v>
      </c>
      <c r="F6" s="134">
        <v>27</v>
      </c>
      <c r="H6" s="7"/>
      <c r="M6" s="4"/>
    </row>
    <row r="7" spans="2:13" x14ac:dyDescent="0.2">
      <c r="B7" s="5" t="s">
        <v>189</v>
      </c>
      <c r="E7" s="135">
        <v>9544</v>
      </c>
      <c r="F7" s="135">
        <v>9206</v>
      </c>
      <c r="H7" s="7"/>
    </row>
    <row r="8" spans="2:13" x14ac:dyDescent="0.2">
      <c r="B8" s="2" t="s">
        <v>5</v>
      </c>
      <c r="E8" s="136">
        <f>21-93</f>
        <v>-72</v>
      </c>
      <c r="F8" s="136">
        <f>1-117</f>
        <v>-116</v>
      </c>
      <c r="H8" s="7"/>
    </row>
    <row r="9" spans="2:13" x14ac:dyDescent="0.2">
      <c r="B9" s="5" t="s">
        <v>6</v>
      </c>
      <c r="E9" s="138">
        <v>9472</v>
      </c>
      <c r="F9" s="138">
        <v>9090</v>
      </c>
      <c r="H9" s="7"/>
    </row>
    <row r="10" spans="2:13" x14ac:dyDescent="0.2">
      <c r="B10" s="2" t="s">
        <v>7</v>
      </c>
      <c r="E10" s="136">
        <v>-4331</v>
      </c>
      <c r="F10" s="136">
        <v>-4212</v>
      </c>
      <c r="H10" s="7"/>
      <c r="M10" s="4"/>
    </row>
    <row r="11" spans="2:13" x14ac:dyDescent="0.2">
      <c r="B11" s="2" t="s">
        <v>8</v>
      </c>
      <c r="E11" s="136">
        <v>0</v>
      </c>
      <c r="F11" s="136">
        <v>-2</v>
      </c>
      <c r="H11" s="7"/>
      <c r="M11" s="4"/>
    </row>
    <row r="12" spans="2:13" x14ac:dyDescent="0.2">
      <c r="B12" s="5" t="s">
        <v>9</v>
      </c>
      <c r="E12" s="139">
        <f>SUM(E9:E11)</f>
        <v>5141</v>
      </c>
      <c r="F12" s="139">
        <v>4877</v>
      </c>
      <c r="H12" s="7"/>
    </row>
    <row r="13" spans="2:13" x14ac:dyDescent="0.2">
      <c r="B13" s="2" t="s">
        <v>10</v>
      </c>
      <c r="E13" s="137">
        <f>E8</f>
        <v>-72</v>
      </c>
      <c r="F13" s="137">
        <f>F8</f>
        <v>-116</v>
      </c>
      <c r="H13" s="7"/>
    </row>
    <row r="14" spans="2:13" x14ac:dyDescent="0.2">
      <c r="B14" s="5" t="s">
        <v>11</v>
      </c>
      <c r="E14" s="137">
        <f>E11</f>
        <v>0</v>
      </c>
      <c r="F14" s="137">
        <f>F11</f>
        <v>-2</v>
      </c>
      <c r="H14" s="7"/>
      <c r="M14" s="4"/>
    </row>
    <row r="15" spans="2:13" x14ac:dyDescent="0.2">
      <c r="B15" s="5" t="s">
        <v>12</v>
      </c>
      <c r="E15" s="139">
        <f>E12-E13-E14</f>
        <v>5213</v>
      </c>
      <c r="F15" s="139">
        <f>F12-F13-F14</f>
        <v>4995</v>
      </c>
      <c r="H15" s="7"/>
    </row>
    <row r="16" spans="2:13" x14ac:dyDescent="0.2">
      <c r="B16" s="2" t="s">
        <v>49</v>
      </c>
      <c r="E16" s="137">
        <f>E6</f>
        <v>-70</v>
      </c>
      <c r="F16" s="137">
        <f>F6</f>
        <v>27</v>
      </c>
      <c r="H16" s="7"/>
    </row>
    <row r="17" spans="1:17" x14ac:dyDescent="0.2">
      <c r="B17" s="2" t="s">
        <v>50</v>
      </c>
      <c r="E17" s="136">
        <v>0</v>
      </c>
      <c r="F17" s="136">
        <v>0</v>
      </c>
      <c r="H17" s="7"/>
    </row>
    <row r="18" spans="1:17" x14ac:dyDescent="0.2">
      <c r="B18" s="5" t="s">
        <v>14</v>
      </c>
      <c r="E18" s="139">
        <f>E15-E16-E17</f>
        <v>5283</v>
      </c>
      <c r="F18" s="139">
        <f>F15-F16-F17</f>
        <v>4968</v>
      </c>
    </row>
    <row r="19" spans="1:17" x14ac:dyDescent="0.2">
      <c r="B19" s="5"/>
      <c r="E19" s="139"/>
      <c r="F19" s="139"/>
    </row>
    <row r="20" spans="1:17" x14ac:dyDescent="0.2">
      <c r="B20" s="2" t="s">
        <v>15</v>
      </c>
      <c r="C20" s="11"/>
      <c r="D20" s="11"/>
      <c r="E20" s="11"/>
      <c r="F20" s="11"/>
      <c r="G20" s="11"/>
      <c r="H20" s="11"/>
      <c r="I20" s="11"/>
      <c r="J20" s="11"/>
      <c r="K20" s="11"/>
      <c r="L20" s="11"/>
      <c r="M20" s="12"/>
      <c r="N20" s="12"/>
      <c r="O20" s="12"/>
      <c r="P20" s="12"/>
      <c r="Q20" s="12"/>
    </row>
    <row r="21" spans="1:17" ht="15" thickBot="1" x14ac:dyDescent="0.25">
      <c r="A21" s="103"/>
      <c r="B21" s="83"/>
      <c r="C21" s="83"/>
      <c r="D21" s="83"/>
      <c r="E21" s="83"/>
      <c r="F21" s="83"/>
      <c r="G21" s="83"/>
    </row>
    <row r="22" spans="1:17" ht="14.25" customHeight="1" x14ac:dyDescent="0.2">
      <c r="A22" s="103"/>
      <c r="B22" s="144" t="s">
        <v>16</v>
      </c>
      <c r="C22" s="145"/>
      <c r="D22" s="84"/>
      <c r="E22" s="84"/>
      <c r="F22" s="84"/>
      <c r="G22" s="85"/>
    </row>
    <row r="23" spans="1:17" ht="14.25" customHeight="1" x14ac:dyDescent="0.2">
      <c r="A23" s="103"/>
      <c r="B23" s="146"/>
      <c r="C23" s="147"/>
      <c r="D23" s="103"/>
      <c r="E23" s="103"/>
      <c r="F23" s="97">
        <v>2025</v>
      </c>
      <c r="G23" s="87"/>
    </row>
    <row r="24" spans="1:17" ht="14.25" x14ac:dyDescent="0.2">
      <c r="A24" s="103"/>
      <c r="B24" s="88" t="s">
        <v>37</v>
      </c>
      <c r="C24" s="103"/>
      <c r="D24" s="103"/>
      <c r="E24" s="103"/>
      <c r="F24" s="98" t="s">
        <v>197</v>
      </c>
      <c r="G24" s="89"/>
    </row>
    <row r="25" spans="1:17" ht="14.25" x14ac:dyDescent="0.2">
      <c r="A25" s="103"/>
      <c r="B25" s="88" t="s">
        <v>19</v>
      </c>
      <c r="C25" s="103"/>
      <c r="D25" s="103"/>
      <c r="E25" s="103"/>
      <c r="F25" s="98" t="s">
        <v>196</v>
      </c>
      <c r="G25" s="89"/>
    </row>
    <row r="26" spans="1:17" ht="14.25" x14ac:dyDescent="0.2">
      <c r="A26" s="103"/>
      <c r="B26" s="88" t="s">
        <v>21</v>
      </c>
      <c r="C26" s="103"/>
      <c r="D26" s="103"/>
      <c r="E26" s="103"/>
      <c r="F26" s="76" t="s">
        <v>22</v>
      </c>
      <c r="G26" s="90"/>
    </row>
    <row r="27" spans="1:17" ht="14.25" x14ac:dyDescent="0.2">
      <c r="A27" s="103"/>
      <c r="B27" s="88"/>
      <c r="C27" s="103"/>
      <c r="D27" s="103"/>
      <c r="E27" s="103"/>
      <c r="F27" s="76"/>
      <c r="G27" s="90"/>
    </row>
    <row r="28" spans="1:17" ht="14.25" x14ac:dyDescent="0.2">
      <c r="A28" s="103"/>
      <c r="B28" s="88" t="s">
        <v>23</v>
      </c>
      <c r="C28" s="103"/>
      <c r="D28" s="103"/>
      <c r="E28" s="103"/>
      <c r="F28" s="76" t="s">
        <v>198</v>
      </c>
      <c r="G28" s="90"/>
    </row>
    <row r="29" spans="1:17" ht="14.25" x14ac:dyDescent="0.2">
      <c r="A29" s="103"/>
      <c r="B29" s="88" t="s">
        <v>42</v>
      </c>
      <c r="C29" s="103"/>
      <c r="D29" s="103"/>
      <c r="E29" s="103"/>
      <c r="F29" s="76" t="s">
        <v>26</v>
      </c>
      <c r="G29" s="90"/>
    </row>
    <row r="30" spans="1:17" ht="14.25" x14ac:dyDescent="0.2">
      <c r="A30" s="103"/>
      <c r="B30" s="88"/>
      <c r="C30" s="103"/>
      <c r="D30" s="103"/>
      <c r="E30" s="103"/>
      <c r="F30" s="76"/>
      <c r="G30" s="90"/>
    </row>
    <row r="31" spans="1:17" ht="14.25" x14ac:dyDescent="0.2">
      <c r="A31" s="103"/>
      <c r="B31" s="21"/>
      <c r="C31" s="103"/>
      <c r="D31" s="103"/>
      <c r="E31" s="103"/>
      <c r="F31" s="76"/>
      <c r="G31" s="90"/>
    </row>
    <row r="32" spans="1:17" ht="14.25" x14ac:dyDescent="0.2">
      <c r="A32" s="103"/>
      <c r="B32" s="127" t="s">
        <v>183</v>
      </c>
      <c r="C32" s="103"/>
      <c r="D32" s="103"/>
      <c r="E32" s="103"/>
      <c r="F32" s="76"/>
      <c r="G32" s="90"/>
    </row>
    <row r="33" spans="1:7" ht="14.25" x14ac:dyDescent="0.2">
      <c r="A33" s="103"/>
      <c r="B33" s="127" t="s">
        <v>29</v>
      </c>
      <c r="C33" s="103"/>
      <c r="D33" s="103"/>
      <c r="E33" s="103"/>
      <c r="F33" s="76"/>
      <c r="G33" s="90"/>
    </row>
    <row r="34" spans="1:7" ht="15" thickBot="1" x14ac:dyDescent="0.25">
      <c r="A34" s="103"/>
      <c r="B34" s="128" t="s">
        <v>190</v>
      </c>
      <c r="C34" s="92"/>
      <c r="D34" s="92"/>
      <c r="E34" s="92"/>
      <c r="F34" s="92"/>
      <c r="G34" s="93"/>
    </row>
    <row r="35" spans="1:7" ht="14.25" x14ac:dyDescent="0.2">
      <c r="A35" s="103"/>
      <c r="B35" s="94"/>
      <c r="C35" s="103"/>
      <c r="D35" s="103"/>
      <c r="E35" s="103"/>
      <c r="F35" s="103"/>
      <c r="G35" s="76"/>
    </row>
    <row r="36" spans="1:7" ht="14.25" x14ac:dyDescent="0.2">
      <c r="A36" s="103"/>
      <c r="B36" s="100"/>
      <c r="C36" s="103"/>
      <c r="D36" s="103"/>
      <c r="E36" s="103"/>
      <c r="F36" s="103"/>
      <c r="G36" s="76"/>
    </row>
    <row r="37" spans="1:7" x14ac:dyDescent="0.2">
      <c r="B37" s="33"/>
    </row>
    <row r="42" spans="1:7" x14ac:dyDescent="0.2">
      <c r="F42" s="46"/>
    </row>
  </sheetData>
  <mergeCells count="1">
    <mergeCell ref="B22:C23"/>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45C6A-F326-4956-A8E2-D6C140DB7B5D}">
  <sheetPr>
    <tabColor theme="0" tint="-0.14999847407452621"/>
  </sheetPr>
  <dimension ref="A2:Q42"/>
  <sheetViews>
    <sheetView showGridLines="0" zoomScale="110" zoomScaleNormal="110" workbookViewId="0"/>
  </sheetViews>
  <sheetFormatPr defaultColWidth="9.140625" defaultRowHeight="12.75" x14ac:dyDescent="0.2"/>
  <cols>
    <col min="1" max="1" width="3.42578125" style="2" customWidth="1"/>
    <col min="2" max="2" width="31.42578125" style="2" customWidth="1"/>
    <col min="3" max="3" width="9.140625" style="2"/>
    <col min="4" max="4" width="21.5703125" style="2" customWidth="1"/>
    <col min="5" max="5" width="9.85546875" style="2" customWidth="1"/>
    <col min="6" max="6" width="33" style="2" customWidth="1"/>
    <col min="7" max="7" width="59"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184</v>
      </c>
      <c r="E2" s="47"/>
      <c r="F2" s="47"/>
    </row>
    <row r="3" spans="2:13" x14ac:dyDescent="0.2">
      <c r="B3" s="2" t="s">
        <v>0</v>
      </c>
      <c r="E3" s="3" t="s">
        <v>185</v>
      </c>
      <c r="F3" s="3" t="s">
        <v>47</v>
      </c>
      <c r="H3" s="3"/>
    </row>
    <row r="4" spans="2:13" x14ac:dyDescent="0.2">
      <c r="M4" s="4"/>
    </row>
    <row r="5" spans="2:13" x14ac:dyDescent="0.2">
      <c r="B5" s="5" t="s">
        <v>3</v>
      </c>
      <c r="E5" s="102">
        <f>E7-E6</f>
        <v>9318</v>
      </c>
      <c r="F5" s="102">
        <f>F7-F6</f>
        <v>8790</v>
      </c>
      <c r="H5" s="7"/>
      <c r="M5" s="4"/>
    </row>
    <row r="6" spans="2:13" x14ac:dyDescent="0.2">
      <c r="B6" s="96" t="s">
        <v>4</v>
      </c>
      <c r="E6" s="7">
        <v>0</v>
      </c>
      <c r="F6" s="7">
        <v>0</v>
      </c>
      <c r="H6" s="7"/>
      <c r="M6" s="4"/>
    </row>
    <row r="7" spans="2:13" x14ac:dyDescent="0.2">
      <c r="B7" s="5" t="s">
        <v>189</v>
      </c>
      <c r="E7" s="107">
        <f>+E9-E8</f>
        <v>9318</v>
      </c>
      <c r="F7" s="107">
        <v>8790</v>
      </c>
      <c r="H7" s="7"/>
    </row>
    <row r="8" spans="2:13" x14ac:dyDescent="0.2">
      <c r="B8" s="2" t="s">
        <v>5</v>
      </c>
      <c r="E8" s="111">
        <f>535+84-16-64</f>
        <v>539</v>
      </c>
      <c r="F8" s="59">
        <v>-219</v>
      </c>
      <c r="H8" s="7"/>
    </row>
    <row r="9" spans="2:13" x14ac:dyDescent="0.2">
      <c r="B9" s="5" t="s">
        <v>6</v>
      </c>
      <c r="E9" s="113">
        <v>9857</v>
      </c>
      <c r="F9" s="123">
        <v>8571</v>
      </c>
      <c r="H9" s="7"/>
    </row>
    <row r="10" spans="2:13" x14ac:dyDescent="0.2">
      <c r="B10" s="2" t="s">
        <v>7</v>
      </c>
      <c r="E10" s="111">
        <f>-4328+63</f>
        <v>-4265</v>
      </c>
      <c r="F10" s="59">
        <v>-4204</v>
      </c>
      <c r="H10" s="7"/>
      <c r="M10" s="4"/>
    </row>
    <row r="11" spans="2:13" x14ac:dyDescent="0.2">
      <c r="B11" s="2" t="s">
        <v>8</v>
      </c>
      <c r="E11" s="111">
        <v>0</v>
      </c>
      <c r="F11" s="59">
        <v>-1</v>
      </c>
      <c r="H11" s="7"/>
      <c r="M11" s="4"/>
    </row>
    <row r="12" spans="2:13" x14ac:dyDescent="0.2">
      <c r="B12" s="5" t="s">
        <v>9</v>
      </c>
      <c r="E12" s="123">
        <f>SUM(E9:E11)</f>
        <v>5592</v>
      </c>
      <c r="F12" s="123">
        <f>SUM(F9:F11)</f>
        <v>4366</v>
      </c>
      <c r="H12" s="7"/>
    </row>
    <row r="13" spans="2:13" x14ac:dyDescent="0.2">
      <c r="B13" s="2" t="s">
        <v>10</v>
      </c>
      <c r="E13" s="59">
        <f>E8</f>
        <v>539</v>
      </c>
      <c r="F13" s="59">
        <f>F8</f>
        <v>-219</v>
      </c>
      <c r="H13" s="7"/>
    </row>
    <row r="14" spans="2:13" x14ac:dyDescent="0.2">
      <c r="B14" s="5" t="s">
        <v>11</v>
      </c>
      <c r="E14" s="59">
        <f>E11</f>
        <v>0</v>
      </c>
      <c r="F14" s="59">
        <f>F11</f>
        <v>-1</v>
      </c>
      <c r="H14" s="7"/>
      <c r="M14" s="4"/>
    </row>
    <row r="15" spans="2:13" x14ac:dyDescent="0.2">
      <c r="B15" s="5" t="s">
        <v>12</v>
      </c>
      <c r="E15" s="123">
        <f>E12-E13-E14</f>
        <v>5053</v>
      </c>
      <c r="F15" s="123">
        <f>F12-F13-F14</f>
        <v>4586</v>
      </c>
      <c r="H15" s="7"/>
    </row>
    <row r="16" spans="2:13" x14ac:dyDescent="0.2">
      <c r="B16" s="2" t="s">
        <v>49</v>
      </c>
      <c r="E16" s="59">
        <f>E6</f>
        <v>0</v>
      </c>
      <c r="F16" s="59">
        <f>F6</f>
        <v>0</v>
      </c>
      <c r="H16" s="7"/>
    </row>
    <row r="17" spans="1:17" x14ac:dyDescent="0.2">
      <c r="B17" s="2" t="s">
        <v>50</v>
      </c>
      <c r="E17" s="111">
        <v>-63</v>
      </c>
      <c r="F17" s="59">
        <v>0</v>
      </c>
      <c r="H17" s="7"/>
    </row>
    <row r="18" spans="1:17" x14ac:dyDescent="0.2">
      <c r="B18" s="5" t="s">
        <v>14</v>
      </c>
      <c r="E18" s="123">
        <f>E15-E16-E17</f>
        <v>5116</v>
      </c>
      <c r="F18" s="123">
        <f>F15-F16-F17</f>
        <v>4586</v>
      </c>
    </row>
    <row r="19" spans="1:17" s="10" customFormat="1" ht="15" x14ac:dyDescent="0.2">
      <c r="A19" s="2"/>
      <c r="B19" s="2"/>
      <c r="C19" s="2"/>
      <c r="D19" s="2"/>
      <c r="E19" s="2"/>
      <c r="F19" s="2"/>
      <c r="G19" s="2"/>
      <c r="H19" s="2"/>
      <c r="I19" s="2"/>
      <c r="J19" s="2"/>
    </row>
    <row r="20" spans="1:17" x14ac:dyDescent="0.2">
      <c r="B20" s="2" t="s">
        <v>15</v>
      </c>
      <c r="C20" s="11"/>
      <c r="D20" s="11"/>
      <c r="E20" s="11"/>
      <c r="F20" s="11"/>
      <c r="G20" s="11"/>
      <c r="H20" s="11"/>
      <c r="I20" s="11"/>
      <c r="J20" s="11"/>
      <c r="K20" s="11"/>
      <c r="L20" s="11"/>
      <c r="M20" s="12"/>
      <c r="N20" s="12"/>
      <c r="O20" s="12"/>
      <c r="P20" s="12"/>
      <c r="Q20" s="12"/>
    </row>
    <row r="21" spans="1:17" ht="15" thickBot="1" x14ac:dyDescent="0.25">
      <c r="A21" s="103"/>
      <c r="B21" s="83"/>
      <c r="C21" s="83"/>
      <c r="D21" s="83"/>
      <c r="E21" s="83"/>
      <c r="F21" s="83"/>
      <c r="G21" s="83"/>
    </row>
    <row r="22" spans="1:17" ht="14.25" x14ac:dyDescent="0.2">
      <c r="A22" s="103"/>
      <c r="B22" s="144" t="s">
        <v>16</v>
      </c>
      <c r="C22" s="145"/>
      <c r="D22" s="84"/>
      <c r="E22" s="84"/>
      <c r="F22" s="84"/>
      <c r="G22" s="85"/>
    </row>
    <row r="23" spans="1:17" ht="14.25" x14ac:dyDescent="0.2">
      <c r="A23" s="103"/>
      <c r="B23" s="146"/>
      <c r="C23" s="147"/>
      <c r="D23" s="103"/>
      <c r="E23" s="103"/>
      <c r="F23" s="97">
        <v>2025</v>
      </c>
      <c r="G23" s="87"/>
    </row>
    <row r="24" spans="1:17" ht="14.25" x14ac:dyDescent="0.2">
      <c r="A24" s="103"/>
      <c r="B24" s="88" t="s">
        <v>37</v>
      </c>
      <c r="C24" s="103"/>
      <c r="D24" s="103"/>
      <c r="E24" s="103"/>
      <c r="F24" s="98" t="s">
        <v>18</v>
      </c>
      <c r="G24" s="89"/>
    </row>
    <row r="25" spans="1:17" ht="14.25" x14ac:dyDescent="0.2">
      <c r="A25" s="103"/>
      <c r="B25" s="88" t="s">
        <v>19</v>
      </c>
      <c r="C25" s="103"/>
      <c r="D25" s="103"/>
      <c r="E25" s="103"/>
      <c r="F25" s="98" t="s">
        <v>186</v>
      </c>
      <c r="G25" s="89"/>
    </row>
    <row r="26" spans="1:17" ht="14.25" x14ac:dyDescent="0.2">
      <c r="A26" s="103"/>
      <c r="B26" s="88" t="s">
        <v>21</v>
      </c>
      <c r="C26" s="103"/>
      <c r="D26" s="103"/>
      <c r="E26" s="103"/>
      <c r="F26" s="76" t="s">
        <v>22</v>
      </c>
      <c r="G26" s="90"/>
    </row>
    <row r="27" spans="1:17" ht="14.25" x14ac:dyDescent="0.2">
      <c r="A27" s="103"/>
      <c r="B27" s="88"/>
      <c r="C27" s="103"/>
      <c r="D27" s="103"/>
      <c r="E27" s="103"/>
      <c r="F27" s="76"/>
      <c r="G27" s="90"/>
    </row>
    <row r="28" spans="1:17" ht="14.25" x14ac:dyDescent="0.2">
      <c r="A28" s="103"/>
      <c r="B28" s="88" t="s">
        <v>23</v>
      </c>
      <c r="C28" s="103"/>
      <c r="D28" s="103"/>
      <c r="E28" s="103"/>
      <c r="F28" s="76" t="s">
        <v>187</v>
      </c>
      <c r="G28" s="90"/>
    </row>
    <row r="29" spans="1:17" ht="14.25" x14ac:dyDescent="0.2">
      <c r="A29" s="103"/>
      <c r="B29" s="88" t="s">
        <v>42</v>
      </c>
      <c r="C29" s="103"/>
      <c r="D29" s="103"/>
      <c r="E29" s="103"/>
      <c r="F29" s="76" t="s">
        <v>26</v>
      </c>
      <c r="G29" s="90"/>
    </row>
    <row r="30" spans="1:17" ht="14.25" x14ac:dyDescent="0.2">
      <c r="A30" s="103"/>
      <c r="B30" s="88"/>
      <c r="C30" s="103"/>
      <c r="D30" s="103"/>
      <c r="E30" s="103"/>
      <c r="F30" s="76"/>
      <c r="G30" s="90"/>
    </row>
    <row r="31" spans="1:17" ht="14.25" x14ac:dyDescent="0.2">
      <c r="A31" s="103"/>
      <c r="B31" s="21"/>
      <c r="C31" s="103"/>
      <c r="D31" s="103"/>
      <c r="E31" s="103"/>
      <c r="F31" s="76"/>
      <c r="G31" s="90"/>
    </row>
    <row r="32" spans="1:17" ht="14.25" x14ac:dyDescent="0.2">
      <c r="A32" s="103"/>
      <c r="B32" s="127" t="s">
        <v>183</v>
      </c>
      <c r="C32" s="103"/>
      <c r="D32" s="103"/>
      <c r="E32" s="103"/>
      <c r="F32" s="76"/>
      <c r="G32" s="90"/>
    </row>
    <row r="33" spans="1:7" ht="14.25" x14ac:dyDescent="0.2">
      <c r="A33" s="103"/>
      <c r="B33" s="127" t="s">
        <v>29</v>
      </c>
      <c r="C33" s="103"/>
      <c r="D33" s="103"/>
      <c r="E33" s="103"/>
      <c r="F33" s="76"/>
      <c r="G33" s="90"/>
    </row>
    <row r="34" spans="1:7" ht="15" thickBot="1" x14ac:dyDescent="0.25">
      <c r="A34" s="103"/>
      <c r="B34" s="128" t="s">
        <v>190</v>
      </c>
      <c r="C34" s="92"/>
      <c r="D34" s="92"/>
      <c r="E34" s="92"/>
      <c r="F34" s="92"/>
      <c r="G34" s="93"/>
    </row>
    <row r="35" spans="1:7" ht="14.25" x14ac:dyDescent="0.2">
      <c r="A35" s="103"/>
      <c r="B35" s="94"/>
      <c r="C35" s="103"/>
      <c r="D35" s="103"/>
      <c r="E35" s="103"/>
      <c r="F35" s="103"/>
      <c r="G35" s="76"/>
    </row>
    <row r="36" spans="1:7" ht="14.25" x14ac:dyDescent="0.2">
      <c r="A36" s="103"/>
      <c r="B36" s="100"/>
      <c r="C36" s="103"/>
      <c r="D36" s="103"/>
      <c r="E36" s="103"/>
      <c r="F36" s="103"/>
      <c r="G36" s="76"/>
    </row>
    <row r="37" spans="1:7" x14ac:dyDescent="0.2">
      <c r="B37" s="33"/>
    </row>
    <row r="42" spans="1:7" x14ac:dyDescent="0.2">
      <c r="F42" s="46"/>
    </row>
  </sheetData>
  <mergeCells count="1">
    <mergeCell ref="B22:C23"/>
  </mergeCells>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&amp;C_x000D_&amp;1#&amp;"Calibri"&amp;8&amp;K000000 Sensitivity: Internal</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F6A11-0563-4733-828F-D534B1A56345}">
  <sheetPr>
    <tabColor theme="0" tint="-0.14999847407452621"/>
  </sheetPr>
  <dimension ref="A2:Q37"/>
  <sheetViews>
    <sheetView showGridLines="0" zoomScale="110" zoomScaleNormal="110" workbookViewId="0"/>
  </sheetViews>
  <sheetFormatPr defaultColWidth="9.140625" defaultRowHeight="12.75" x14ac:dyDescent="0.2"/>
  <cols>
    <col min="1" max="1" width="3.42578125" style="2" customWidth="1"/>
    <col min="2" max="2" width="31.42578125" style="2" customWidth="1"/>
    <col min="3" max="3" width="9.140625" style="2"/>
    <col min="4" max="4" width="19" style="2" customWidth="1"/>
    <col min="5" max="5" width="11.85546875" style="2" customWidth="1"/>
    <col min="6" max="6" width="47.140625" style="2" customWidth="1"/>
    <col min="7" max="7" width="34.1406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188</v>
      </c>
    </row>
    <row r="3" spans="2:13" x14ac:dyDescent="0.2">
      <c r="B3" s="2" t="s">
        <v>0</v>
      </c>
      <c r="E3" s="3" t="s">
        <v>1</v>
      </c>
      <c r="F3" s="3" t="s">
        <v>2</v>
      </c>
      <c r="H3" s="3"/>
    </row>
    <row r="4" spans="2:13" x14ac:dyDescent="0.2">
      <c r="F4" s="47"/>
      <c r="M4" s="4"/>
    </row>
    <row r="5" spans="2:13" x14ac:dyDescent="0.2">
      <c r="B5" s="5" t="s">
        <v>3</v>
      </c>
      <c r="E5" s="102">
        <f>E7-E6</f>
        <v>8711</v>
      </c>
      <c r="F5" s="126">
        <f>F7-F6</f>
        <v>8505</v>
      </c>
      <c r="H5" s="7"/>
      <c r="M5" s="4"/>
    </row>
    <row r="6" spans="2:13" x14ac:dyDescent="0.2">
      <c r="B6" s="96" t="s">
        <v>4</v>
      </c>
      <c r="E6" s="7">
        <f>-100+30</f>
        <v>-70</v>
      </c>
      <c r="F6" s="112">
        <v>0</v>
      </c>
      <c r="H6" s="7"/>
      <c r="M6" s="4"/>
    </row>
    <row r="7" spans="2:13" x14ac:dyDescent="0.2">
      <c r="B7" s="5" t="s">
        <v>33</v>
      </c>
      <c r="E7" s="102">
        <v>8641</v>
      </c>
      <c r="F7" s="105">
        <v>8505</v>
      </c>
      <c r="H7" s="7"/>
    </row>
    <row r="8" spans="2:13" x14ac:dyDescent="0.2">
      <c r="B8" s="2" t="s">
        <v>5</v>
      </c>
      <c r="E8" s="7">
        <f>17+(-215)</f>
        <v>-198</v>
      </c>
      <c r="F8" s="106">
        <f>1431-148</f>
        <v>1283</v>
      </c>
      <c r="H8" s="7"/>
    </row>
    <row r="9" spans="2:13" x14ac:dyDescent="0.2">
      <c r="B9" s="5" t="s">
        <v>6</v>
      </c>
      <c r="E9" s="124">
        <f>E7+E8</f>
        <v>8443</v>
      </c>
      <c r="F9" s="125">
        <v>9788</v>
      </c>
      <c r="H9" s="7"/>
    </row>
    <row r="10" spans="2:13" x14ac:dyDescent="0.2">
      <c r="B10" s="2" t="s">
        <v>7</v>
      </c>
      <c r="E10" s="7">
        <v>-4295</v>
      </c>
      <c r="F10" s="106">
        <v>-4156</v>
      </c>
      <c r="H10" s="7"/>
      <c r="M10" s="4"/>
    </row>
    <row r="11" spans="2:13" x14ac:dyDescent="0.2">
      <c r="B11" s="2" t="s">
        <v>8</v>
      </c>
      <c r="E11" s="7">
        <v>0</v>
      </c>
      <c r="F11" s="106">
        <v>-1</v>
      </c>
      <c r="H11" s="7"/>
      <c r="M11" s="4"/>
    </row>
    <row r="12" spans="2:13" x14ac:dyDescent="0.2">
      <c r="B12" s="5" t="s">
        <v>9</v>
      </c>
      <c r="E12" s="105">
        <f>SUM(E9:E11)</f>
        <v>4148</v>
      </c>
      <c r="F12" s="105">
        <f>SUM(F9:F11)</f>
        <v>5631</v>
      </c>
      <c r="H12" s="7"/>
    </row>
    <row r="13" spans="2:13" x14ac:dyDescent="0.2">
      <c r="B13" s="2" t="s">
        <v>10</v>
      </c>
      <c r="E13" s="7">
        <f>E8</f>
        <v>-198</v>
      </c>
      <c r="F13" s="106">
        <f>F8</f>
        <v>1283</v>
      </c>
      <c r="H13" s="7"/>
    </row>
    <row r="14" spans="2:13" x14ac:dyDescent="0.2">
      <c r="B14" s="5" t="s">
        <v>11</v>
      </c>
      <c r="E14" s="7">
        <f>E11</f>
        <v>0</v>
      </c>
      <c r="F14" s="106">
        <f>F11</f>
        <v>-1</v>
      </c>
      <c r="H14" s="7"/>
      <c r="M14" s="4"/>
    </row>
    <row r="15" spans="2:13" x14ac:dyDescent="0.2">
      <c r="B15" s="5" t="s">
        <v>12</v>
      </c>
      <c r="E15" s="102">
        <f>E12-E13-E14</f>
        <v>4346</v>
      </c>
      <c r="F15" s="105">
        <f>F12-F13-F14</f>
        <v>4349</v>
      </c>
      <c r="G15" s="46"/>
      <c r="H15" s="7"/>
    </row>
    <row r="16" spans="2:13" x14ac:dyDescent="0.2">
      <c r="B16" s="2" t="s">
        <v>13</v>
      </c>
      <c r="E16" s="7">
        <f>E6</f>
        <v>-70</v>
      </c>
      <c r="F16" s="106">
        <f>F6</f>
        <v>0</v>
      </c>
      <c r="H16" s="7"/>
    </row>
    <row r="17" spans="1:17" x14ac:dyDescent="0.2">
      <c r="B17" s="5" t="s">
        <v>14</v>
      </c>
      <c r="E17" s="113">
        <f>E15-E16</f>
        <v>4416</v>
      </c>
      <c r="F17" s="113">
        <f>F15-F16</f>
        <v>4349</v>
      </c>
      <c r="H17" s="7"/>
    </row>
    <row r="19" spans="1:17" x14ac:dyDescent="0.2">
      <c r="B19" s="2" t="s">
        <v>15</v>
      </c>
    </row>
    <row r="20" spans="1:17" x14ac:dyDescent="0.2">
      <c r="B20" s="11"/>
      <c r="C20" s="11"/>
      <c r="D20" s="11"/>
      <c r="E20" s="11"/>
      <c r="F20" s="11"/>
      <c r="G20" s="11"/>
      <c r="H20" s="11"/>
      <c r="I20" s="11"/>
      <c r="J20" s="11"/>
      <c r="K20" s="11"/>
      <c r="L20" s="11"/>
      <c r="M20" s="12"/>
      <c r="N20" s="12"/>
      <c r="O20" s="12"/>
      <c r="P20" s="12"/>
      <c r="Q20" s="12"/>
    </row>
    <row r="21" spans="1:17" ht="13.5" thickBot="1" x14ac:dyDescent="0.25">
      <c r="A21" s="114"/>
      <c r="B21" s="115"/>
      <c r="C21" s="115"/>
      <c r="D21" s="115"/>
      <c r="E21" s="115"/>
      <c r="F21" s="115"/>
      <c r="G21" s="115"/>
    </row>
    <row r="22" spans="1:17" ht="15" x14ac:dyDescent="0.2">
      <c r="A22" s="114"/>
      <c r="B22" s="144" t="s">
        <v>16</v>
      </c>
      <c r="C22" s="145"/>
      <c r="D22" s="120"/>
      <c r="E22" s="120"/>
      <c r="F22" s="120"/>
      <c r="G22" s="85"/>
    </row>
    <row r="23" spans="1:17" ht="15.75" x14ac:dyDescent="0.25">
      <c r="A23" s="114"/>
      <c r="B23" s="146"/>
      <c r="C23" s="147"/>
      <c r="D23" s="121"/>
      <c r="E23" s="121"/>
      <c r="F23" s="122">
        <v>2025</v>
      </c>
      <c r="G23" s="87"/>
    </row>
    <row r="24" spans="1:17" x14ac:dyDescent="0.2">
      <c r="A24" s="114"/>
      <c r="B24" s="88" t="s">
        <v>17</v>
      </c>
      <c r="C24" s="114"/>
      <c r="D24" s="114"/>
      <c r="E24" s="114"/>
      <c r="F24" s="98" t="s">
        <v>18</v>
      </c>
      <c r="G24" s="89"/>
    </row>
    <row r="25" spans="1:17" x14ac:dyDescent="0.2">
      <c r="A25" s="114"/>
      <c r="B25" s="88" t="s">
        <v>19</v>
      </c>
      <c r="C25" s="114"/>
      <c r="D25" s="114"/>
      <c r="E25" s="114"/>
      <c r="F25" s="98" t="s">
        <v>20</v>
      </c>
      <c r="G25" s="89"/>
    </row>
    <row r="26" spans="1:17" x14ac:dyDescent="0.2">
      <c r="A26" s="114"/>
      <c r="B26" s="88" t="s">
        <v>21</v>
      </c>
      <c r="C26" s="114"/>
      <c r="D26" s="114"/>
      <c r="E26" s="114"/>
      <c r="F26" s="76" t="s">
        <v>22</v>
      </c>
      <c r="G26" s="90"/>
    </row>
    <row r="27" spans="1:17" x14ac:dyDescent="0.2">
      <c r="A27" s="114"/>
      <c r="B27" s="88"/>
      <c r="C27" s="114"/>
      <c r="D27" s="114"/>
      <c r="E27" s="114"/>
      <c r="F27" s="76"/>
      <c r="G27" s="90"/>
    </row>
    <row r="28" spans="1:17" x14ac:dyDescent="0.2">
      <c r="A28" s="114"/>
      <c r="B28" s="88" t="s">
        <v>23</v>
      </c>
      <c r="C28" s="114"/>
      <c r="D28" s="114"/>
      <c r="E28" s="114"/>
      <c r="F28" s="76" t="s">
        <v>24</v>
      </c>
      <c r="G28" s="90"/>
    </row>
    <row r="29" spans="1:17" x14ac:dyDescent="0.2">
      <c r="A29" s="114"/>
      <c r="B29" s="88" t="s">
        <v>25</v>
      </c>
      <c r="C29" s="114"/>
      <c r="D29" s="114"/>
      <c r="E29" s="114"/>
      <c r="F29" s="76" t="s">
        <v>26</v>
      </c>
      <c r="G29" s="90"/>
    </row>
    <row r="30" spans="1:17" x14ac:dyDescent="0.2">
      <c r="A30" s="114"/>
      <c r="B30" s="88"/>
      <c r="C30" s="114"/>
      <c r="D30" s="114"/>
      <c r="E30" s="114"/>
      <c r="F30" s="76"/>
      <c r="G30" s="90"/>
    </row>
    <row r="31" spans="1:17" x14ac:dyDescent="0.2">
      <c r="A31" s="114"/>
      <c r="B31" s="116" t="s">
        <v>27</v>
      </c>
      <c r="C31" s="114"/>
      <c r="D31" s="114"/>
      <c r="E31" s="114"/>
      <c r="F31" s="76"/>
      <c r="G31" s="90"/>
    </row>
    <row r="32" spans="1:17" x14ac:dyDescent="0.2">
      <c r="A32" s="114"/>
      <c r="B32" s="116" t="s">
        <v>183</v>
      </c>
      <c r="C32" s="114"/>
      <c r="D32" s="114"/>
      <c r="E32" s="114"/>
      <c r="F32" s="76"/>
      <c r="G32" s="90"/>
    </row>
    <row r="33" spans="1:7" x14ac:dyDescent="0.2">
      <c r="A33" s="114"/>
      <c r="B33" s="116" t="s">
        <v>29</v>
      </c>
      <c r="C33" s="114"/>
      <c r="D33" s="114"/>
      <c r="E33" s="114"/>
      <c r="F33" s="76"/>
      <c r="G33" s="90"/>
    </row>
    <row r="34" spans="1:7" ht="13.5" thickBot="1" x14ac:dyDescent="0.25">
      <c r="A34" s="114"/>
      <c r="B34" s="117" t="s">
        <v>30</v>
      </c>
      <c r="C34" s="118"/>
      <c r="D34" s="118"/>
      <c r="E34" s="118"/>
      <c r="F34" s="118"/>
      <c r="G34" s="119"/>
    </row>
    <row r="35" spans="1:7" x14ac:dyDescent="0.2">
      <c r="A35" s="114"/>
      <c r="B35" s="94"/>
      <c r="C35" s="114"/>
      <c r="D35" s="114"/>
      <c r="E35" s="114"/>
      <c r="F35" s="114"/>
      <c r="G35" s="76"/>
    </row>
    <row r="36" spans="1:7" x14ac:dyDescent="0.2">
      <c r="A36" s="114"/>
      <c r="B36" s="79"/>
      <c r="C36" s="114"/>
      <c r="D36" s="114"/>
      <c r="E36" s="114"/>
      <c r="F36" s="114"/>
      <c r="G36" s="76"/>
    </row>
    <row r="37" spans="1:7" x14ac:dyDescent="0.2">
      <c r="B37" s="33"/>
    </row>
  </sheetData>
  <mergeCells count="1">
    <mergeCell ref="B22:C23"/>
  </mergeCells>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&amp;C_x000D_&amp;1#&amp;"Calibri"&amp;8&amp;K000000 Sensitivity: Internal</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510A8-EA58-48B2-8991-2477FE278C23}">
  <sheetPr>
    <tabColor theme="0" tint="-0.14999847407452621"/>
  </sheetPr>
  <dimension ref="A2:Q37"/>
  <sheetViews>
    <sheetView showGridLines="0" zoomScale="110" zoomScaleNormal="110" workbookViewId="0"/>
  </sheetViews>
  <sheetFormatPr defaultColWidth="9.140625" defaultRowHeight="12.75" x14ac:dyDescent="0.2"/>
  <cols>
    <col min="1" max="1" width="3.42578125" style="2" customWidth="1"/>
    <col min="2" max="2" width="31.42578125" style="2" customWidth="1"/>
    <col min="3" max="3" width="9.140625" style="2"/>
    <col min="4" max="4" width="19" style="2" customWidth="1"/>
    <col min="5" max="5" width="11.85546875" style="2" customWidth="1"/>
    <col min="6" max="6" width="47.140625" style="2" customWidth="1"/>
    <col min="7" max="7" width="18"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191</v>
      </c>
    </row>
    <row r="3" spans="2:13" x14ac:dyDescent="0.2">
      <c r="B3" s="2" t="s">
        <v>0</v>
      </c>
      <c r="E3" s="3" t="s">
        <v>31</v>
      </c>
      <c r="F3" s="3" t="s">
        <v>32</v>
      </c>
      <c r="H3" s="3"/>
    </row>
    <row r="4" spans="2:13" x14ac:dyDescent="0.2">
      <c r="M4" s="4"/>
    </row>
    <row r="5" spans="2:13" x14ac:dyDescent="0.2">
      <c r="B5" s="5" t="s">
        <v>3</v>
      </c>
      <c r="E5" s="102">
        <f>E7-E6</f>
        <v>8649</v>
      </c>
      <c r="F5" s="102">
        <f>F7-F6</f>
        <v>8450</v>
      </c>
      <c r="H5" s="7"/>
      <c r="M5" s="4"/>
    </row>
    <row r="6" spans="2:13" x14ac:dyDescent="0.2">
      <c r="B6" s="96" t="s">
        <v>4</v>
      </c>
      <c r="E6" s="7">
        <f>-(43+37+90)</f>
        <v>-170</v>
      </c>
      <c r="F6" s="7">
        <f>39-22</f>
        <v>17</v>
      </c>
      <c r="H6" s="7"/>
      <c r="M6" s="4"/>
    </row>
    <row r="7" spans="2:13" x14ac:dyDescent="0.2">
      <c r="B7" s="5" t="s">
        <v>33</v>
      </c>
      <c r="E7" s="102">
        <v>8479</v>
      </c>
      <c r="F7" s="102">
        <v>8467</v>
      </c>
      <c r="H7" s="7"/>
    </row>
    <row r="8" spans="2:13" x14ac:dyDescent="0.2">
      <c r="B8" s="2" t="s">
        <v>5</v>
      </c>
      <c r="E8" s="7">
        <v>-361</v>
      </c>
      <c r="F8" s="7">
        <f>10-489</f>
        <v>-479</v>
      </c>
      <c r="H8" s="7"/>
    </row>
    <row r="9" spans="2:13" x14ac:dyDescent="0.2">
      <c r="B9" s="5" t="s">
        <v>6</v>
      </c>
      <c r="E9" s="104">
        <v>8118</v>
      </c>
      <c r="F9" s="104">
        <v>7987</v>
      </c>
      <c r="H9" s="7"/>
    </row>
    <row r="10" spans="2:13" x14ac:dyDescent="0.2">
      <c r="B10" s="2" t="s">
        <v>7</v>
      </c>
      <c r="E10" s="7">
        <v>-4299</v>
      </c>
      <c r="F10" s="7">
        <v>-4193.82583645868</v>
      </c>
      <c r="H10" s="7"/>
      <c r="M10" s="4"/>
    </row>
    <row r="11" spans="2:13" x14ac:dyDescent="0.2">
      <c r="B11" s="2" t="s">
        <v>8</v>
      </c>
      <c r="E11" s="7">
        <v>-68</v>
      </c>
      <c r="F11" s="7">
        <v>-25</v>
      </c>
      <c r="H11" s="7"/>
      <c r="M11" s="4"/>
    </row>
    <row r="12" spans="2:13" x14ac:dyDescent="0.2">
      <c r="B12" s="5" t="s">
        <v>9</v>
      </c>
      <c r="E12" s="104">
        <v>3750</v>
      </c>
      <c r="F12" s="102">
        <f>3769</f>
        <v>3769</v>
      </c>
      <c r="H12" s="7"/>
    </row>
    <row r="13" spans="2:13" x14ac:dyDescent="0.2">
      <c r="B13" s="2" t="s">
        <v>10</v>
      </c>
      <c r="E13" s="7">
        <f>E8</f>
        <v>-361</v>
      </c>
      <c r="F13" s="7">
        <f>F8</f>
        <v>-479</v>
      </c>
      <c r="H13" s="7"/>
    </row>
    <row r="14" spans="2:13" x14ac:dyDescent="0.2">
      <c r="B14" s="5" t="s">
        <v>11</v>
      </c>
      <c r="E14" s="7">
        <f>E11</f>
        <v>-68</v>
      </c>
      <c r="F14" s="7">
        <f>F11</f>
        <v>-25</v>
      </c>
      <c r="H14" s="7"/>
      <c r="M14" s="4"/>
    </row>
    <row r="15" spans="2:13" x14ac:dyDescent="0.2">
      <c r="B15" s="5" t="s">
        <v>12</v>
      </c>
      <c r="E15" s="102">
        <f>E12-E13-E14</f>
        <v>4179</v>
      </c>
      <c r="F15" s="102">
        <v>4273</v>
      </c>
      <c r="G15" s="46"/>
      <c r="H15" s="7"/>
    </row>
    <row r="16" spans="2:13" x14ac:dyDescent="0.2">
      <c r="B16" s="2" t="s">
        <v>13</v>
      </c>
      <c r="E16" s="7">
        <f>E6</f>
        <v>-170</v>
      </c>
      <c r="F16" s="7">
        <f>F6</f>
        <v>17</v>
      </c>
      <c r="H16" s="7"/>
    </row>
    <row r="17" spans="1:17" x14ac:dyDescent="0.2">
      <c r="B17" s="5" t="s">
        <v>14</v>
      </c>
      <c r="E17" s="102">
        <f>E15-E16</f>
        <v>4349</v>
      </c>
      <c r="F17" s="102">
        <f>F15-F16</f>
        <v>4256</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5" thickBot="1" x14ac:dyDescent="0.25">
      <c r="A21" s="103"/>
      <c r="B21" s="83"/>
      <c r="C21" s="83"/>
      <c r="D21" s="83"/>
      <c r="E21" s="83"/>
      <c r="F21" s="83"/>
      <c r="G21" s="83"/>
    </row>
    <row r="22" spans="1:17" ht="14.25" x14ac:dyDescent="0.2">
      <c r="A22" s="103"/>
      <c r="B22" s="144" t="s">
        <v>16</v>
      </c>
      <c r="C22" s="145"/>
      <c r="D22" s="84"/>
      <c r="E22" s="84"/>
      <c r="F22" s="84"/>
      <c r="G22" s="85"/>
    </row>
    <row r="23" spans="1:17" ht="14.25" x14ac:dyDescent="0.2">
      <c r="A23" s="103"/>
      <c r="B23" s="146"/>
      <c r="C23" s="147"/>
      <c r="D23" s="103"/>
      <c r="E23" s="103"/>
      <c r="F23" s="97">
        <v>2025</v>
      </c>
      <c r="G23" s="87"/>
    </row>
    <row r="24" spans="1:17" ht="14.25" x14ac:dyDescent="0.2">
      <c r="A24" s="103"/>
      <c r="B24" s="88" t="s">
        <v>17</v>
      </c>
      <c r="C24" s="103"/>
      <c r="D24" s="103"/>
      <c r="E24" s="103"/>
      <c r="F24" s="98" t="s">
        <v>18</v>
      </c>
      <c r="G24" s="89"/>
    </row>
    <row r="25" spans="1:17" ht="14.25" x14ac:dyDescent="0.2">
      <c r="A25" s="103"/>
      <c r="B25" s="88" t="s">
        <v>19</v>
      </c>
      <c r="C25" s="103"/>
      <c r="D25" s="103"/>
      <c r="E25" s="103"/>
      <c r="F25" s="98" t="s">
        <v>20</v>
      </c>
      <c r="G25" s="89"/>
    </row>
    <row r="26" spans="1:17" ht="14.25" x14ac:dyDescent="0.2">
      <c r="A26" s="103"/>
      <c r="B26" s="88" t="s">
        <v>21</v>
      </c>
      <c r="C26" s="103"/>
      <c r="D26" s="103"/>
      <c r="E26" s="103"/>
      <c r="F26" s="76" t="s">
        <v>22</v>
      </c>
      <c r="G26" s="90"/>
    </row>
    <row r="27" spans="1:17" ht="14.25" x14ac:dyDescent="0.2">
      <c r="A27" s="103"/>
      <c r="B27" s="88"/>
      <c r="C27" s="103"/>
      <c r="D27" s="103"/>
      <c r="E27" s="103"/>
      <c r="F27" s="76"/>
      <c r="G27" s="90"/>
    </row>
    <row r="28" spans="1:17" ht="14.25" x14ac:dyDescent="0.2">
      <c r="A28" s="103"/>
      <c r="B28" s="88" t="s">
        <v>23</v>
      </c>
      <c r="C28" s="103"/>
      <c r="D28" s="103"/>
      <c r="E28" s="103"/>
      <c r="F28" s="76" t="s">
        <v>24</v>
      </c>
      <c r="G28" s="90"/>
    </row>
    <row r="29" spans="1:17" ht="14.25" x14ac:dyDescent="0.2">
      <c r="A29" s="103"/>
      <c r="B29" s="88" t="s">
        <v>25</v>
      </c>
      <c r="C29" s="103"/>
      <c r="D29" s="103"/>
      <c r="E29" s="103"/>
      <c r="F29" s="76" t="s">
        <v>26</v>
      </c>
      <c r="G29" s="90"/>
    </row>
    <row r="30" spans="1:17" ht="14.25" x14ac:dyDescent="0.2">
      <c r="A30" s="103"/>
      <c r="B30" s="88"/>
      <c r="C30" s="103"/>
      <c r="D30" s="103"/>
      <c r="E30" s="103"/>
      <c r="F30" s="76"/>
      <c r="G30" s="90"/>
    </row>
    <row r="31" spans="1:17" ht="14.25" x14ac:dyDescent="0.2">
      <c r="A31" s="103"/>
      <c r="B31" s="99" t="s">
        <v>27</v>
      </c>
      <c r="C31" s="103"/>
      <c r="D31" s="103"/>
      <c r="E31" s="103"/>
      <c r="F31" s="76"/>
      <c r="G31" s="90"/>
    </row>
    <row r="32" spans="1:17" ht="14.25" x14ac:dyDescent="0.2">
      <c r="A32" s="103"/>
      <c r="B32" s="99" t="s">
        <v>28</v>
      </c>
      <c r="C32" s="103"/>
      <c r="D32" s="103"/>
      <c r="E32" s="103"/>
      <c r="F32" s="76"/>
      <c r="G32" s="90"/>
    </row>
    <row r="33" spans="1:7" ht="14.25" x14ac:dyDescent="0.2">
      <c r="A33" s="103"/>
      <c r="B33" s="99" t="s">
        <v>29</v>
      </c>
      <c r="C33" s="103"/>
      <c r="D33" s="103"/>
      <c r="E33" s="103"/>
      <c r="F33" s="76"/>
      <c r="G33" s="90"/>
    </row>
    <row r="34" spans="1:7" ht="15" thickBot="1" x14ac:dyDescent="0.25">
      <c r="A34" s="103"/>
      <c r="B34" s="101" t="s">
        <v>30</v>
      </c>
      <c r="C34" s="92"/>
      <c r="D34" s="92"/>
      <c r="E34" s="92"/>
      <c r="F34" s="92"/>
      <c r="G34" s="93"/>
    </row>
    <row r="35" spans="1:7" ht="14.25" x14ac:dyDescent="0.2">
      <c r="A35" s="103"/>
      <c r="B35" s="94"/>
      <c r="C35" s="103"/>
      <c r="D35" s="103"/>
      <c r="E35" s="103"/>
      <c r="F35" s="103"/>
      <c r="G35" s="76"/>
    </row>
    <row r="36" spans="1:7" ht="14.25" x14ac:dyDescent="0.2">
      <c r="A36" s="103"/>
      <c r="B36" s="79"/>
      <c r="C36" s="103"/>
      <c r="D36" s="103"/>
      <c r="E36" s="103"/>
      <c r="F36" s="103"/>
      <c r="G36" s="76"/>
    </row>
    <row r="37" spans="1:7" x14ac:dyDescent="0.2">
      <c r="B37" s="33"/>
    </row>
  </sheetData>
  <mergeCells count="1">
    <mergeCell ref="B22:C23"/>
  </mergeCells>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&amp;C_x000D_&amp;1#&amp;"Calibri"&amp;8&amp;K000000 Sensitivity: Internal</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F54A6-3461-4AF3-8D69-352E62E08166}">
  <sheetPr>
    <tabColor theme="0" tint="-0.14999847407452621"/>
  </sheetPr>
  <dimension ref="A2:Q42"/>
  <sheetViews>
    <sheetView showGridLines="0" zoomScale="110" zoomScaleNormal="110" workbookViewId="0"/>
  </sheetViews>
  <sheetFormatPr defaultColWidth="9.140625" defaultRowHeight="12.75" x14ac:dyDescent="0.2"/>
  <cols>
    <col min="1" max="1" width="3.42578125" style="2" customWidth="1"/>
    <col min="2" max="2" width="31.42578125" style="2" customWidth="1"/>
    <col min="3" max="3" width="9.140625" style="2"/>
    <col min="4" max="4" width="11.5703125" style="2" customWidth="1"/>
    <col min="5" max="5" width="9.85546875" style="2" customWidth="1"/>
    <col min="6" max="6" width="35.140625" style="2" customWidth="1"/>
    <col min="7" max="7" width="59"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34</v>
      </c>
    </row>
    <row r="3" spans="2:13" x14ac:dyDescent="0.2">
      <c r="B3" s="2" t="s">
        <v>0</v>
      </c>
      <c r="E3" s="3" t="s">
        <v>35</v>
      </c>
      <c r="F3" s="3" t="s">
        <v>192</v>
      </c>
      <c r="H3" s="3"/>
    </row>
    <row r="4" spans="2:13" x14ac:dyDescent="0.2">
      <c r="M4" s="4"/>
    </row>
    <row r="5" spans="2:13" x14ac:dyDescent="0.2">
      <c r="B5" s="5" t="s">
        <v>3</v>
      </c>
      <c r="E5" s="102">
        <f>E7-E6</f>
        <v>9179</v>
      </c>
      <c r="F5" s="102">
        <f>F7-F6</f>
        <v>9284</v>
      </c>
      <c r="H5" s="7"/>
      <c r="M5" s="4"/>
    </row>
    <row r="6" spans="2:13" x14ac:dyDescent="0.2">
      <c r="B6" s="96" t="s">
        <v>4</v>
      </c>
      <c r="E6" s="7">
        <v>27</v>
      </c>
      <c r="F6" s="7">
        <v>-33</v>
      </c>
      <c r="H6" s="7"/>
      <c r="M6" s="4"/>
    </row>
    <row r="7" spans="2:13" x14ac:dyDescent="0.2">
      <c r="B7" s="5" t="s">
        <v>33</v>
      </c>
      <c r="E7" s="102">
        <v>9206</v>
      </c>
      <c r="F7" s="102">
        <v>9251</v>
      </c>
      <c r="H7" s="7"/>
    </row>
    <row r="8" spans="2:13" x14ac:dyDescent="0.2">
      <c r="B8" s="2" t="s">
        <v>5</v>
      </c>
      <c r="E8" s="7">
        <f>E9-E7</f>
        <v>-116.01308686970879</v>
      </c>
      <c r="F8" s="7">
        <f>F9-F7</f>
        <v>-148</v>
      </c>
      <c r="H8" s="7"/>
    </row>
    <row r="9" spans="2:13" x14ac:dyDescent="0.2">
      <c r="B9" s="5" t="s">
        <v>6</v>
      </c>
      <c r="E9" s="104">
        <v>9089.9869131302912</v>
      </c>
      <c r="F9" s="104">
        <v>9103</v>
      </c>
      <c r="H9" s="7"/>
    </row>
    <row r="10" spans="2:13" x14ac:dyDescent="0.2">
      <c r="B10" s="2" t="s">
        <v>7</v>
      </c>
      <c r="E10" s="7">
        <v>-4211.9415313117042</v>
      </c>
      <c r="F10" s="7">
        <v>-4116</v>
      </c>
      <c r="H10" s="7"/>
      <c r="M10" s="4"/>
    </row>
    <row r="11" spans="2:13" x14ac:dyDescent="0.2">
      <c r="B11" s="2" t="s">
        <v>8</v>
      </c>
      <c r="E11" s="7">
        <v>-1.5075077897347979</v>
      </c>
      <c r="F11" s="7">
        <v>0</v>
      </c>
      <c r="H11" s="7"/>
      <c r="M11" s="4"/>
    </row>
    <row r="12" spans="2:13" x14ac:dyDescent="0.2">
      <c r="B12" s="5" t="s">
        <v>9</v>
      </c>
      <c r="E12" s="104">
        <f>SUM(E9:E11)</f>
        <v>4876.5378740288525</v>
      </c>
      <c r="F12" s="102">
        <f>+F11+F10+F9</f>
        <v>4987</v>
      </c>
      <c r="H12" s="7"/>
    </row>
    <row r="13" spans="2:13" x14ac:dyDescent="0.2">
      <c r="B13" s="2" t="s">
        <v>10</v>
      </c>
      <c r="E13" s="7">
        <f>E8</f>
        <v>-116.01308686970879</v>
      </c>
      <c r="F13" s="7">
        <f>F8</f>
        <v>-148</v>
      </c>
      <c r="H13" s="7"/>
    </row>
    <row r="14" spans="2:13" x14ac:dyDescent="0.2">
      <c r="B14" s="5" t="s">
        <v>11</v>
      </c>
      <c r="E14" s="7">
        <f>E11</f>
        <v>-1.5075077897347979</v>
      </c>
      <c r="F14" s="7">
        <f>F11</f>
        <v>0</v>
      </c>
      <c r="H14" s="7"/>
      <c r="M14" s="4"/>
    </row>
    <row r="15" spans="2:13" x14ac:dyDescent="0.2">
      <c r="B15" s="5" t="s">
        <v>12</v>
      </c>
      <c r="E15" s="102">
        <f>E12-E13-E14</f>
        <v>4994.0584686882958</v>
      </c>
      <c r="F15" s="102">
        <f>F12-F13-F14</f>
        <v>5135</v>
      </c>
      <c r="G15" s="46"/>
      <c r="H15" s="7"/>
    </row>
    <row r="16" spans="2:13" x14ac:dyDescent="0.2">
      <c r="B16" s="2" t="s">
        <v>13</v>
      </c>
      <c r="E16" s="7">
        <f>E6</f>
        <v>27</v>
      </c>
      <c r="F16" s="7">
        <f>+F6</f>
        <v>-33</v>
      </c>
      <c r="H16" s="7"/>
    </row>
    <row r="17" spans="1:17" x14ac:dyDescent="0.2">
      <c r="B17" s="5" t="s">
        <v>14</v>
      </c>
      <c r="E17" s="102">
        <f>E15-E16</f>
        <v>4967.0584686882958</v>
      </c>
      <c r="F17" s="102">
        <f>F15-F16</f>
        <v>5168</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5.75" thickBot="1" x14ac:dyDescent="0.3">
      <c r="A21" s="77"/>
      <c r="B21" s="83"/>
      <c r="C21" s="83"/>
      <c r="D21" s="83"/>
      <c r="E21" s="83"/>
      <c r="F21" s="83"/>
      <c r="G21" s="83"/>
    </row>
    <row r="22" spans="1:17" ht="15" x14ac:dyDescent="0.25">
      <c r="A22" s="77"/>
      <c r="B22" s="144" t="s">
        <v>36</v>
      </c>
      <c r="C22" s="145"/>
      <c r="D22" s="84"/>
      <c r="E22" s="84"/>
      <c r="F22" s="84"/>
      <c r="G22" s="85"/>
    </row>
    <row r="23" spans="1:17" ht="15" x14ac:dyDescent="0.25">
      <c r="A23" s="77"/>
      <c r="B23" s="146"/>
      <c r="C23" s="147"/>
      <c r="D23" s="86"/>
      <c r="E23" s="86"/>
      <c r="F23" s="97">
        <v>2024</v>
      </c>
      <c r="G23" s="87"/>
    </row>
    <row r="24" spans="1:17" ht="15" x14ac:dyDescent="0.25">
      <c r="A24" s="77"/>
      <c r="B24" s="88" t="s">
        <v>37</v>
      </c>
      <c r="C24" s="86"/>
      <c r="D24" s="86"/>
      <c r="E24" s="86"/>
      <c r="F24" s="98" t="s">
        <v>38</v>
      </c>
      <c r="G24" s="89"/>
    </row>
    <row r="25" spans="1:17" ht="15" x14ac:dyDescent="0.25">
      <c r="A25" s="77"/>
      <c r="B25" s="88" t="s">
        <v>19</v>
      </c>
      <c r="C25" s="86"/>
      <c r="D25" s="86"/>
      <c r="E25" s="86"/>
      <c r="F25" s="98" t="s">
        <v>39</v>
      </c>
      <c r="G25" s="89"/>
    </row>
    <row r="26" spans="1:17" ht="15" x14ac:dyDescent="0.25">
      <c r="A26" s="77"/>
      <c r="B26" s="88" t="s">
        <v>21</v>
      </c>
      <c r="C26" s="86"/>
      <c r="D26" s="86"/>
      <c r="E26" s="86"/>
      <c r="F26" s="76" t="s">
        <v>40</v>
      </c>
      <c r="G26" s="90"/>
    </row>
    <row r="27" spans="1:17" ht="15" x14ac:dyDescent="0.25">
      <c r="A27" s="77"/>
      <c r="B27" s="88"/>
      <c r="C27" s="86"/>
      <c r="D27" s="86"/>
      <c r="E27" s="86"/>
      <c r="F27" s="76"/>
      <c r="G27" s="90"/>
    </row>
    <row r="28" spans="1:17" ht="15" x14ac:dyDescent="0.25">
      <c r="A28" s="77"/>
      <c r="B28" s="88" t="s">
        <v>23</v>
      </c>
      <c r="C28" s="86"/>
      <c r="D28" s="86"/>
      <c r="E28" s="86"/>
      <c r="F28" s="76" t="s">
        <v>41</v>
      </c>
      <c r="G28" s="90"/>
    </row>
    <row r="29" spans="1:17" ht="15" x14ac:dyDescent="0.25">
      <c r="A29" s="77"/>
      <c r="B29" s="88" t="s">
        <v>42</v>
      </c>
      <c r="C29" s="86"/>
      <c r="D29" s="86"/>
      <c r="E29" s="86"/>
      <c r="F29" s="76" t="s">
        <v>43</v>
      </c>
      <c r="G29" s="90"/>
    </row>
    <row r="30" spans="1:17" ht="15" x14ac:dyDescent="0.25">
      <c r="A30" s="77"/>
      <c r="B30" s="88"/>
      <c r="C30" s="86"/>
      <c r="D30" s="86"/>
      <c r="E30" s="86"/>
      <c r="F30" s="76"/>
      <c r="G30" s="90"/>
    </row>
    <row r="31" spans="1:17" ht="15" x14ac:dyDescent="0.25">
      <c r="A31" s="77"/>
      <c r="B31" s="99" t="s">
        <v>44</v>
      </c>
      <c r="C31" s="86"/>
      <c r="D31" s="86"/>
      <c r="E31" s="86"/>
      <c r="F31" s="76"/>
      <c r="G31" s="90"/>
    </row>
    <row r="32" spans="1:17" ht="15" x14ac:dyDescent="0.25">
      <c r="A32" s="77"/>
      <c r="B32" s="99" t="s">
        <v>28</v>
      </c>
      <c r="C32" s="86"/>
      <c r="D32" s="86"/>
      <c r="E32" s="86"/>
      <c r="F32" s="76"/>
      <c r="G32" s="90"/>
    </row>
    <row r="33" spans="1:7" ht="15" x14ac:dyDescent="0.25">
      <c r="A33" s="77"/>
      <c r="B33" s="99" t="s">
        <v>45</v>
      </c>
      <c r="C33" s="86"/>
      <c r="D33" s="86"/>
      <c r="E33" s="86"/>
      <c r="F33" s="76"/>
      <c r="G33" s="90"/>
    </row>
    <row r="34" spans="1:7" ht="29.45" customHeight="1" thickBot="1" x14ac:dyDescent="0.3">
      <c r="A34" s="77"/>
      <c r="B34" s="148" t="s">
        <v>194</v>
      </c>
      <c r="C34" s="149"/>
      <c r="D34" s="149"/>
      <c r="E34" s="149"/>
      <c r="F34" s="149"/>
      <c r="G34" s="150"/>
    </row>
    <row r="35" spans="1:7" ht="15" x14ac:dyDescent="0.25">
      <c r="A35" s="77"/>
      <c r="B35" s="94"/>
      <c r="C35" s="86"/>
      <c r="D35" s="86"/>
      <c r="E35" s="86"/>
      <c r="F35" s="86"/>
      <c r="G35" s="76"/>
    </row>
    <row r="36" spans="1:7" ht="15" x14ac:dyDescent="0.25">
      <c r="A36" s="77"/>
      <c r="B36" s="100"/>
      <c r="C36" s="86"/>
      <c r="D36" s="86"/>
      <c r="E36" s="86"/>
      <c r="F36" s="86"/>
      <c r="G36" s="76"/>
    </row>
    <row r="37" spans="1:7" x14ac:dyDescent="0.2">
      <c r="B37" s="33"/>
    </row>
    <row r="42" spans="1:7" x14ac:dyDescent="0.2">
      <c r="F42" s="46"/>
    </row>
  </sheetData>
  <mergeCells count="2">
    <mergeCell ref="B22:C23"/>
    <mergeCell ref="B34:G34"/>
  </mergeCells>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&amp;C_x000D_&amp;1#&amp;"Calibri"&amp;8&amp;K000000 Sensitivity: Internal</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325E5-CAF0-4D00-8ECE-C479E7428BC6}">
  <sheetPr>
    <tabColor theme="0" tint="-0.14999847407452621"/>
  </sheetPr>
  <dimension ref="A2:Q42"/>
  <sheetViews>
    <sheetView showGridLines="0" zoomScale="110" zoomScaleNormal="110" workbookViewId="0"/>
  </sheetViews>
  <sheetFormatPr defaultColWidth="9.140625" defaultRowHeight="12.75" x14ac:dyDescent="0.2"/>
  <cols>
    <col min="1" max="1" width="3.42578125" style="2" customWidth="1"/>
    <col min="2" max="2" width="31.42578125" style="2" customWidth="1"/>
    <col min="3" max="3" width="9.140625" style="2"/>
    <col min="4" max="4" width="11.5703125" style="2" customWidth="1"/>
    <col min="5" max="5" width="9.85546875" style="2" customWidth="1"/>
    <col min="6" max="6" width="33" style="2" customWidth="1"/>
    <col min="7" max="7" width="59"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46</v>
      </c>
    </row>
    <row r="3" spans="2:13" x14ac:dyDescent="0.2">
      <c r="B3" s="2" t="s">
        <v>0</v>
      </c>
      <c r="E3" s="5" t="s">
        <v>47</v>
      </c>
      <c r="F3" s="3" t="s">
        <v>193</v>
      </c>
      <c r="H3" s="3"/>
    </row>
    <row r="4" spans="2:13" x14ac:dyDescent="0.2">
      <c r="M4" s="4"/>
    </row>
    <row r="5" spans="2:13" x14ac:dyDescent="0.2">
      <c r="B5" s="5" t="s">
        <v>3</v>
      </c>
      <c r="E5" s="102">
        <f>E7-E6</f>
        <v>8790</v>
      </c>
      <c r="F5" s="123">
        <f>F7-F6</f>
        <v>8808</v>
      </c>
      <c r="H5" s="7"/>
      <c r="M5" s="4"/>
    </row>
    <row r="6" spans="2:13" x14ac:dyDescent="0.2">
      <c r="B6" s="96" t="s">
        <v>4</v>
      </c>
      <c r="E6" s="7">
        <v>0</v>
      </c>
      <c r="F6" s="59">
        <v>-41</v>
      </c>
      <c r="H6" s="7"/>
      <c r="M6" s="4"/>
    </row>
    <row r="7" spans="2:13" x14ac:dyDescent="0.2">
      <c r="B7" s="5" t="s">
        <v>33</v>
      </c>
      <c r="E7" s="107">
        <v>8790</v>
      </c>
      <c r="F7" s="123">
        <v>8767</v>
      </c>
      <c r="H7" s="7"/>
    </row>
    <row r="8" spans="2:13" x14ac:dyDescent="0.2">
      <c r="B8" s="2" t="s">
        <v>5</v>
      </c>
      <c r="E8" s="59">
        <v>-219</v>
      </c>
      <c r="F8" s="59">
        <v>-188</v>
      </c>
      <c r="H8" s="7"/>
    </row>
    <row r="9" spans="2:13" x14ac:dyDescent="0.2">
      <c r="B9" s="5" t="s">
        <v>6</v>
      </c>
      <c r="E9" s="123">
        <v>8571</v>
      </c>
      <c r="F9" s="123">
        <f>+F7+F8</f>
        <v>8579</v>
      </c>
      <c r="H9" s="7"/>
    </row>
    <row r="10" spans="2:13" x14ac:dyDescent="0.2">
      <c r="B10" s="2" t="s">
        <v>7</v>
      </c>
      <c r="E10" s="59">
        <v>-4204</v>
      </c>
      <c r="F10" s="59">
        <v>-4205</v>
      </c>
      <c r="H10" s="7"/>
      <c r="M10" s="4"/>
    </row>
    <row r="11" spans="2:13" x14ac:dyDescent="0.2">
      <c r="B11" s="2" t="s">
        <v>8</v>
      </c>
      <c r="E11" s="59">
        <v>-1</v>
      </c>
      <c r="F11" s="111">
        <v>0</v>
      </c>
      <c r="H11" s="7"/>
      <c r="M11" s="4"/>
    </row>
    <row r="12" spans="2:13" x14ac:dyDescent="0.2">
      <c r="B12" s="5" t="s">
        <v>9</v>
      </c>
      <c r="E12" s="123">
        <f>SUM(E9:E11)</f>
        <v>4366</v>
      </c>
      <c r="F12" s="123">
        <f>+F11+F10+F9</f>
        <v>4374</v>
      </c>
      <c r="H12" s="7"/>
    </row>
    <row r="13" spans="2:13" x14ac:dyDescent="0.2">
      <c r="B13" s="2" t="s">
        <v>10</v>
      </c>
      <c r="E13" s="59">
        <f>E8</f>
        <v>-219</v>
      </c>
      <c r="F13" s="59">
        <f>F8</f>
        <v>-188</v>
      </c>
      <c r="H13" s="7"/>
    </row>
    <row r="14" spans="2:13" x14ac:dyDescent="0.2">
      <c r="B14" s="5" t="s">
        <v>11</v>
      </c>
      <c r="E14" s="59">
        <f>E11</f>
        <v>-1</v>
      </c>
      <c r="F14" s="59">
        <f>F11</f>
        <v>0</v>
      </c>
      <c r="H14" s="7"/>
      <c r="M14" s="4"/>
    </row>
    <row r="15" spans="2:13" x14ac:dyDescent="0.2">
      <c r="B15" s="5" t="s">
        <v>12</v>
      </c>
      <c r="E15" s="123">
        <f>E12-E13-E14</f>
        <v>4586</v>
      </c>
      <c r="F15" s="123">
        <f>F12-F13-F14</f>
        <v>4562</v>
      </c>
      <c r="H15" s="7"/>
    </row>
    <row r="16" spans="2:13" x14ac:dyDescent="0.2">
      <c r="B16" s="2" t="s">
        <v>49</v>
      </c>
      <c r="E16" s="59">
        <f>E6</f>
        <v>0</v>
      </c>
      <c r="F16" s="59">
        <f>+F6</f>
        <v>-41</v>
      </c>
      <c r="H16" s="7"/>
    </row>
    <row r="17" spans="1:17" x14ac:dyDescent="0.2">
      <c r="B17" s="2" t="s">
        <v>50</v>
      </c>
      <c r="E17" s="59">
        <v>0</v>
      </c>
      <c r="F17" s="59">
        <v>-34</v>
      </c>
      <c r="H17" s="7"/>
    </row>
    <row r="18" spans="1:17" x14ac:dyDescent="0.2">
      <c r="B18" s="5" t="s">
        <v>14</v>
      </c>
      <c r="E18" s="123">
        <f>E15-E16-E17</f>
        <v>4586</v>
      </c>
      <c r="F18" s="123">
        <f>F15-F16-F17</f>
        <v>4637</v>
      </c>
    </row>
    <row r="19" spans="1:17" s="10" customFormat="1" ht="15" x14ac:dyDescent="0.2">
      <c r="A19" s="2"/>
      <c r="B19" s="2"/>
      <c r="C19" s="2"/>
      <c r="D19" s="2"/>
      <c r="E19" s="2"/>
      <c r="F19" s="2"/>
      <c r="G19" s="2"/>
      <c r="H19" s="2"/>
      <c r="I19" s="2"/>
      <c r="J19" s="2"/>
    </row>
    <row r="20" spans="1:17" x14ac:dyDescent="0.2">
      <c r="B20" s="2" t="s">
        <v>15</v>
      </c>
      <c r="C20" s="11"/>
      <c r="D20" s="11"/>
      <c r="E20" s="11"/>
      <c r="F20" s="11"/>
      <c r="G20" s="11"/>
      <c r="H20" s="11"/>
      <c r="I20" s="11"/>
      <c r="J20" s="11"/>
      <c r="K20" s="11"/>
      <c r="L20" s="11"/>
      <c r="M20" s="12"/>
      <c r="N20" s="12"/>
      <c r="O20" s="12"/>
      <c r="P20" s="12"/>
      <c r="Q20" s="12"/>
    </row>
    <row r="21" spans="1:17" ht="15.75" thickBot="1" x14ac:dyDescent="0.3">
      <c r="A21" s="77"/>
      <c r="B21" s="83"/>
      <c r="C21" s="83"/>
      <c r="D21" s="83"/>
      <c r="E21" s="83"/>
      <c r="F21" s="83"/>
      <c r="G21" s="83"/>
    </row>
    <row r="22" spans="1:17" ht="15" x14ac:dyDescent="0.25">
      <c r="A22" s="77"/>
      <c r="B22" s="144" t="s">
        <v>36</v>
      </c>
      <c r="C22" s="145"/>
      <c r="D22" s="84"/>
      <c r="E22" s="84"/>
      <c r="F22" s="84"/>
      <c r="G22" s="85"/>
    </row>
    <row r="23" spans="1:17" ht="15" x14ac:dyDescent="0.25">
      <c r="A23" s="77"/>
      <c r="B23" s="146"/>
      <c r="C23" s="147"/>
      <c r="D23" s="86"/>
      <c r="E23" s="86"/>
      <c r="F23" s="97">
        <v>2024</v>
      </c>
      <c r="G23" s="87"/>
    </row>
    <row r="24" spans="1:17" ht="15" x14ac:dyDescent="0.25">
      <c r="A24" s="77"/>
      <c r="B24" s="88" t="s">
        <v>37</v>
      </c>
      <c r="C24" s="86"/>
      <c r="D24" s="86"/>
      <c r="E24" s="86"/>
      <c r="F24" s="98" t="s">
        <v>51</v>
      </c>
      <c r="G24" s="89"/>
    </row>
    <row r="25" spans="1:17" ht="15" x14ac:dyDescent="0.25">
      <c r="A25" s="77"/>
      <c r="B25" s="88" t="s">
        <v>19</v>
      </c>
      <c r="C25" s="86"/>
      <c r="D25" s="86"/>
      <c r="E25" s="86"/>
      <c r="F25" s="98" t="s">
        <v>20</v>
      </c>
      <c r="G25" s="89"/>
    </row>
    <row r="26" spans="1:17" ht="15" x14ac:dyDescent="0.25">
      <c r="A26" s="77"/>
      <c r="B26" s="88" t="s">
        <v>21</v>
      </c>
      <c r="C26" s="86"/>
      <c r="D26" s="86"/>
      <c r="E26" s="86"/>
      <c r="F26" s="76" t="s">
        <v>52</v>
      </c>
      <c r="G26" s="90"/>
    </row>
    <row r="27" spans="1:17" ht="15" x14ac:dyDescent="0.25">
      <c r="A27" s="77"/>
      <c r="B27" s="88"/>
      <c r="C27" s="86"/>
      <c r="D27" s="86"/>
      <c r="E27" s="86"/>
      <c r="F27" s="76"/>
      <c r="G27" s="90"/>
    </row>
    <row r="28" spans="1:17" ht="15" x14ac:dyDescent="0.25">
      <c r="A28" s="77"/>
      <c r="B28" s="88" t="s">
        <v>23</v>
      </c>
      <c r="C28" s="86"/>
      <c r="D28" s="86"/>
      <c r="E28" s="86"/>
      <c r="F28" s="76" t="s">
        <v>20</v>
      </c>
      <c r="G28" s="90"/>
    </row>
    <row r="29" spans="1:17" ht="15" x14ac:dyDescent="0.25">
      <c r="A29" s="77"/>
      <c r="B29" s="88" t="s">
        <v>42</v>
      </c>
      <c r="C29" s="86"/>
      <c r="D29" s="86"/>
      <c r="E29" s="86"/>
      <c r="F29" s="76" t="s">
        <v>53</v>
      </c>
      <c r="G29" s="90"/>
    </row>
    <row r="30" spans="1:17" ht="15" x14ac:dyDescent="0.25">
      <c r="A30" s="77"/>
      <c r="B30" s="88"/>
      <c r="C30" s="86"/>
      <c r="D30" s="86"/>
      <c r="E30" s="86"/>
      <c r="F30" s="76"/>
      <c r="G30" s="90"/>
    </row>
    <row r="31" spans="1:17" ht="15" x14ac:dyDescent="0.25">
      <c r="A31" s="77"/>
      <c r="B31" s="99" t="s">
        <v>44</v>
      </c>
      <c r="C31" s="86"/>
      <c r="D31" s="86"/>
      <c r="E31" s="86"/>
      <c r="F31" s="76"/>
      <c r="G31" s="90"/>
    </row>
    <row r="32" spans="1:17" ht="15" x14ac:dyDescent="0.25">
      <c r="A32" s="77"/>
      <c r="B32" s="99" t="s">
        <v>28</v>
      </c>
      <c r="C32" s="86"/>
      <c r="D32" s="86"/>
      <c r="E32" s="86"/>
      <c r="F32" s="76"/>
      <c r="G32" s="90"/>
    </row>
    <row r="33" spans="1:7" ht="15" x14ac:dyDescent="0.25">
      <c r="A33" s="77"/>
      <c r="B33" s="99" t="s">
        <v>45</v>
      </c>
      <c r="C33" s="86"/>
      <c r="D33" s="86"/>
      <c r="E33" s="86"/>
      <c r="F33" s="76"/>
      <c r="G33" s="90"/>
    </row>
    <row r="34" spans="1:7" ht="15.75" thickBot="1" x14ac:dyDescent="0.3">
      <c r="A34" s="77"/>
      <c r="B34" s="91" t="s">
        <v>54</v>
      </c>
      <c r="C34" s="92"/>
      <c r="D34" s="92"/>
      <c r="E34" s="92"/>
      <c r="F34" s="92"/>
      <c r="G34" s="93"/>
    </row>
    <row r="35" spans="1:7" ht="15" x14ac:dyDescent="0.25">
      <c r="A35" s="77"/>
      <c r="B35" s="94"/>
      <c r="C35" s="86"/>
      <c r="D35" s="86"/>
      <c r="E35" s="86"/>
      <c r="F35" s="86"/>
      <c r="G35" s="76"/>
    </row>
    <row r="36" spans="1:7" ht="15" x14ac:dyDescent="0.25">
      <c r="A36" s="77"/>
      <c r="B36" s="100"/>
      <c r="C36" s="86"/>
      <c r="D36" s="86"/>
      <c r="E36" s="86"/>
      <c r="F36" s="86"/>
      <c r="G36" s="76"/>
    </row>
    <row r="37" spans="1:7" x14ac:dyDescent="0.2">
      <c r="B37" s="33"/>
    </row>
    <row r="42" spans="1:7" x14ac:dyDescent="0.2">
      <c r="F42" s="46"/>
    </row>
  </sheetData>
  <mergeCells count="1">
    <mergeCell ref="B22:C23"/>
  </mergeCells>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&amp;C_x000D_&amp;1#&amp;"Calibri"&amp;8&amp;K000000 Sensitivity: Internal</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22F19-C1E8-4475-9BED-02CCA767E2C0}">
  <sheetPr>
    <tabColor theme="0" tint="-0.14999847407452621"/>
  </sheetPr>
  <dimension ref="A2:Q42"/>
  <sheetViews>
    <sheetView showGridLines="0" zoomScale="110" zoomScaleNormal="110" workbookViewId="0"/>
  </sheetViews>
  <sheetFormatPr defaultColWidth="9.140625" defaultRowHeight="12.75" x14ac:dyDescent="0.2"/>
  <cols>
    <col min="1" max="1" width="3.42578125" style="2" customWidth="1"/>
    <col min="2" max="2" width="31.42578125" style="2" customWidth="1"/>
    <col min="3" max="3" width="9.140625" style="2"/>
    <col min="4" max="4" width="11.5703125" style="2" customWidth="1"/>
    <col min="5" max="5" width="9.85546875" style="2" customWidth="1"/>
    <col min="6" max="6" width="33" style="2" customWidth="1"/>
    <col min="7" max="7" width="59"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55</v>
      </c>
    </row>
    <row r="3" spans="2:13" x14ac:dyDescent="0.2">
      <c r="B3" s="2" t="s">
        <v>0</v>
      </c>
      <c r="E3" s="5" t="s">
        <v>2</v>
      </c>
      <c r="F3" s="3" t="s">
        <v>56</v>
      </c>
      <c r="H3" s="3"/>
    </row>
    <row r="4" spans="2:13" x14ac:dyDescent="0.2">
      <c r="M4" s="4"/>
    </row>
    <row r="5" spans="2:13" x14ac:dyDescent="0.2">
      <c r="B5" s="5" t="s">
        <v>3</v>
      </c>
      <c r="E5" s="102">
        <f>E7-E6</f>
        <v>8505</v>
      </c>
      <c r="F5" s="123">
        <f>F7-F6</f>
        <v>8144</v>
      </c>
      <c r="H5" s="7"/>
      <c r="M5" s="4"/>
    </row>
    <row r="6" spans="2:13" x14ac:dyDescent="0.2">
      <c r="B6" s="96" t="s">
        <v>4</v>
      </c>
      <c r="E6" s="7">
        <v>0</v>
      </c>
      <c r="F6" s="59">
        <v>-66</v>
      </c>
      <c r="H6" s="7"/>
      <c r="M6" s="4"/>
    </row>
    <row r="7" spans="2:13" x14ac:dyDescent="0.2">
      <c r="B7" s="5" t="s">
        <v>33</v>
      </c>
      <c r="E7" s="107">
        <v>8505</v>
      </c>
      <c r="F7" s="123">
        <v>8078</v>
      </c>
      <c r="H7" s="7"/>
    </row>
    <row r="8" spans="2:13" x14ac:dyDescent="0.2">
      <c r="B8" s="2" t="s">
        <v>5</v>
      </c>
      <c r="E8" s="59">
        <f>1431-148</f>
        <v>1283</v>
      </c>
      <c r="F8" s="59">
        <f>9-233</f>
        <v>-224</v>
      </c>
      <c r="H8" s="7"/>
    </row>
    <row r="9" spans="2:13" x14ac:dyDescent="0.2">
      <c r="B9" s="5" t="s">
        <v>6</v>
      </c>
      <c r="E9" s="123">
        <v>9788</v>
      </c>
      <c r="F9" s="123">
        <v>7853</v>
      </c>
      <c r="H9" s="7"/>
    </row>
    <row r="10" spans="2:13" x14ac:dyDescent="0.2">
      <c r="B10" s="2" t="s">
        <v>7</v>
      </c>
      <c r="E10" s="59">
        <v>-4156</v>
      </c>
      <c r="F10" s="59">
        <v>-4019</v>
      </c>
      <c r="H10" s="7"/>
      <c r="M10" s="4"/>
    </row>
    <row r="11" spans="2:13" x14ac:dyDescent="0.2">
      <c r="B11" s="2" t="s">
        <v>8</v>
      </c>
      <c r="E11" s="59">
        <v>-1</v>
      </c>
      <c r="F11" s="111">
        <v>0</v>
      </c>
      <c r="H11" s="7"/>
      <c r="M11" s="4"/>
    </row>
    <row r="12" spans="2:13" x14ac:dyDescent="0.2">
      <c r="B12" s="5" t="s">
        <v>9</v>
      </c>
      <c r="E12" s="123">
        <f>SUM(E9:E11)</f>
        <v>5631</v>
      </c>
      <c r="F12" s="123">
        <f>SUM(F9:F11)</f>
        <v>3834</v>
      </c>
      <c r="H12" s="7"/>
    </row>
    <row r="13" spans="2:13" x14ac:dyDescent="0.2">
      <c r="B13" s="2" t="s">
        <v>10</v>
      </c>
      <c r="E13" s="59">
        <f>E8</f>
        <v>1283</v>
      </c>
      <c r="F13" s="59">
        <f>F8</f>
        <v>-224</v>
      </c>
      <c r="H13" s="7"/>
    </row>
    <row r="14" spans="2:13" x14ac:dyDescent="0.2">
      <c r="B14" s="5" t="s">
        <v>11</v>
      </c>
      <c r="E14" s="59">
        <f>E11</f>
        <v>-1</v>
      </c>
      <c r="F14" s="59">
        <f>F11</f>
        <v>0</v>
      </c>
      <c r="H14" s="7"/>
      <c r="M14" s="4"/>
    </row>
    <row r="15" spans="2:13" x14ac:dyDescent="0.2">
      <c r="B15" s="5" t="s">
        <v>12</v>
      </c>
      <c r="E15" s="123">
        <f>E12-E13-E14</f>
        <v>4349</v>
      </c>
      <c r="F15" s="123">
        <f>F12-F13-F14</f>
        <v>4058</v>
      </c>
      <c r="H15" s="7"/>
    </row>
    <row r="16" spans="2:13" x14ac:dyDescent="0.2">
      <c r="B16" s="2" t="s">
        <v>57</v>
      </c>
      <c r="E16" s="59">
        <f>E6</f>
        <v>0</v>
      </c>
      <c r="F16" s="59">
        <f>+F6</f>
        <v>-66</v>
      </c>
      <c r="H16" s="7"/>
    </row>
    <row r="17" spans="1:17" x14ac:dyDescent="0.2">
      <c r="B17" s="5" t="s">
        <v>14</v>
      </c>
      <c r="C17" s="5"/>
      <c r="D17" s="5"/>
      <c r="E17" s="123">
        <f>E15-E16</f>
        <v>4349</v>
      </c>
      <c r="F17" s="123">
        <f>F15-F16</f>
        <v>4124</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5.75" thickBot="1" x14ac:dyDescent="0.3">
      <c r="A21" s="77"/>
      <c r="B21" s="83"/>
      <c r="C21" s="83"/>
      <c r="D21" s="83"/>
      <c r="E21" s="83"/>
      <c r="F21" s="83"/>
      <c r="G21" s="83"/>
    </row>
    <row r="22" spans="1:17" ht="15" x14ac:dyDescent="0.25">
      <c r="A22" s="77"/>
      <c r="B22" s="144" t="s">
        <v>36</v>
      </c>
      <c r="C22" s="145"/>
      <c r="D22" s="84"/>
      <c r="E22" s="84"/>
      <c r="F22" s="84"/>
      <c r="G22" s="85"/>
    </row>
    <row r="23" spans="1:17" ht="15" x14ac:dyDescent="0.25">
      <c r="A23" s="77"/>
      <c r="B23" s="146"/>
      <c r="C23" s="147"/>
      <c r="D23" s="86"/>
      <c r="E23" s="86"/>
      <c r="F23" s="97">
        <v>2024</v>
      </c>
      <c r="G23" s="87"/>
    </row>
    <row r="24" spans="1:17" ht="15" x14ac:dyDescent="0.25">
      <c r="A24" s="77"/>
      <c r="B24" s="88" t="s">
        <v>17</v>
      </c>
      <c r="C24" s="86"/>
      <c r="D24" s="86"/>
      <c r="E24" s="86"/>
      <c r="F24" s="98" t="s">
        <v>18</v>
      </c>
      <c r="G24" s="89"/>
    </row>
    <row r="25" spans="1:17" ht="15" x14ac:dyDescent="0.25">
      <c r="A25" s="77"/>
      <c r="B25" s="88" t="s">
        <v>19</v>
      </c>
      <c r="C25" s="86"/>
      <c r="D25" s="86"/>
      <c r="E25" s="86"/>
      <c r="F25" s="98" t="s">
        <v>20</v>
      </c>
      <c r="G25" s="89"/>
    </row>
    <row r="26" spans="1:17" ht="15" x14ac:dyDescent="0.25">
      <c r="A26" s="77"/>
      <c r="B26" s="88" t="s">
        <v>21</v>
      </c>
      <c r="C26" s="86"/>
      <c r="D26" s="86"/>
      <c r="E26" s="86"/>
      <c r="F26" s="76" t="s">
        <v>52</v>
      </c>
      <c r="G26" s="90"/>
    </row>
    <row r="27" spans="1:17" ht="15" x14ac:dyDescent="0.25">
      <c r="A27" s="77"/>
      <c r="B27" s="88"/>
      <c r="C27" s="86"/>
      <c r="D27" s="86"/>
      <c r="E27" s="86"/>
      <c r="F27" s="76"/>
      <c r="G27" s="90"/>
    </row>
    <row r="28" spans="1:17" ht="15" x14ac:dyDescent="0.25">
      <c r="A28" s="77"/>
      <c r="B28" s="88" t="s">
        <v>23</v>
      </c>
      <c r="C28" s="86"/>
      <c r="D28" s="86"/>
      <c r="E28" s="86"/>
      <c r="F28" s="76" t="s">
        <v>20</v>
      </c>
      <c r="G28" s="90"/>
    </row>
    <row r="29" spans="1:17" ht="15" x14ac:dyDescent="0.25">
      <c r="A29" s="77"/>
      <c r="B29" s="88" t="s">
        <v>42</v>
      </c>
      <c r="C29" s="86"/>
      <c r="D29" s="86"/>
      <c r="E29" s="86"/>
      <c r="F29" s="76" t="s">
        <v>53</v>
      </c>
      <c r="G29" s="90"/>
    </row>
    <row r="30" spans="1:17" ht="15" x14ac:dyDescent="0.25">
      <c r="A30" s="77"/>
      <c r="B30" s="88"/>
      <c r="C30" s="86"/>
      <c r="D30" s="86"/>
      <c r="E30" s="86"/>
      <c r="F30" s="76"/>
      <c r="G30" s="90"/>
    </row>
    <row r="31" spans="1:17" ht="15" x14ac:dyDescent="0.25">
      <c r="A31" s="77"/>
      <c r="B31" s="99" t="s">
        <v>44</v>
      </c>
      <c r="C31" s="86"/>
      <c r="D31" s="86"/>
      <c r="E31" s="86"/>
      <c r="F31" s="76"/>
      <c r="G31" s="90"/>
    </row>
    <row r="32" spans="1:17" ht="15" x14ac:dyDescent="0.25">
      <c r="A32" s="77"/>
      <c r="B32" s="99" t="s">
        <v>28</v>
      </c>
      <c r="C32" s="86"/>
      <c r="D32" s="86"/>
      <c r="E32" s="86"/>
      <c r="F32" s="76"/>
      <c r="G32" s="90"/>
    </row>
    <row r="33" spans="1:7" ht="15" x14ac:dyDescent="0.25">
      <c r="A33" s="77"/>
      <c r="B33" s="99" t="s">
        <v>45</v>
      </c>
      <c r="C33" s="86"/>
      <c r="D33" s="86"/>
      <c r="E33" s="86"/>
      <c r="F33" s="76"/>
      <c r="G33" s="90"/>
    </row>
    <row r="34" spans="1:7" ht="15.75" thickBot="1" x14ac:dyDescent="0.3">
      <c r="A34" s="77"/>
      <c r="B34" s="91" t="s">
        <v>54</v>
      </c>
      <c r="C34" s="92"/>
      <c r="D34" s="92"/>
      <c r="E34" s="92"/>
      <c r="F34" s="92"/>
      <c r="G34" s="93"/>
    </row>
    <row r="35" spans="1:7" ht="15" x14ac:dyDescent="0.25">
      <c r="A35" s="77"/>
      <c r="B35" s="94"/>
      <c r="C35" s="86"/>
      <c r="D35" s="86"/>
      <c r="E35" s="86"/>
      <c r="F35" s="86"/>
      <c r="G35" s="76"/>
    </row>
    <row r="36" spans="1:7" ht="15" x14ac:dyDescent="0.25">
      <c r="A36" s="77"/>
      <c r="B36" s="79"/>
      <c r="C36" s="86"/>
      <c r="D36" s="86"/>
      <c r="E36" s="86"/>
      <c r="F36" s="86"/>
      <c r="G36" s="76"/>
    </row>
    <row r="37" spans="1:7" x14ac:dyDescent="0.2">
      <c r="B37" s="33"/>
    </row>
    <row r="42" spans="1:7" x14ac:dyDescent="0.2">
      <c r="F42" s="46"/>
    </row>
  </sheetData>
  <mergeCells count="1">
    <mergeCell ref="B22:C23"/>
  </mergeCells>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&amp;C_x000D_&amp;1#&amp;"Calibri"&amp;8&amp;K000000 Sensitivity: Internal</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F644D-93A2-4731-B37C-B4205E8D5D88}">
  <sheetPr>
    <tabColor theme="0" tint="-0.14999847407452621"/>
  </sheetPr>
  <dimension ref="A2:Q37"/>
  <sheetViews>
    <sheetView showGridLines="0" zoomScale="110" zoomScaleNormal="110" workbookViewId="0"/>
  </sheetViews>
  <sheetFormatPr defaultColWidth="9.140625" defaultRowHeight="12.75" x14ac:dyDescent="0.2"/>
  <cols>
    <col min="1" max="1" width="3.42578125" style="2" customWidth="1"/>
    <col min="2" max="2" width="31.42578125" style="2" customWidth="1"/>
    <col min="3" max="3" width="9.140625" style="2"/>
    <col min="4" max="4" width="11.5703125" style="2" customWidth="1"/>
    <col min="5" max="5" width="9.85546875" style="2" customWidth="1"/>
    <col min="6" max="6" width="33" style="2" customWidth="1"/>
    <col min="7" max="7" width="59"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58</v>
      </c>
    </row>
    <row r="3" spans="2:13" x14ac:dyDescent="0.2">
      <c r="B3" s="2" t="s">
        <v>0</v>
      </c>
      <c r="E3" s="5" t="s">
        <v>32</v>
      </c>
      <c r="F3" s="3" t="s">
        <v>59</v>
      </c>
      <c r="H3" s="3"/>
    </row>
    <row r="4" spans="2:13" x14ac:dyDescent="0.2">
      <c r="M4" s="4"/>
    </row>
    <row r="5" spans="2:13" x14ac:dyDescent="0.2">
      <c r="B5" s="5" t="s">
        <v>3</v>
      </c>
      <c r="E5" s="102">
        <f>E7-E6</f>
        <v>8450</v>
      </c>
      <c r="F5" s="123">
        <f>F7-F6</f>
        <v>8125</v>
      </c>
      <c r="H5" s="7"/>
      <c r="M5" s="4"/>
    </row>
    <row r="6" spans="2:13" x14ac:dyDescent="0.2">
      <c r="B6" s="96" t="s">
        <v>4</v>
      </c>
      <c r="E6" s="7">
        <f>39-22</f>
        <v>17</v>
      </c>
      <c r="F6" s="59">
        <f>-57-80+52</f>
        <v>-85</v>
      </c>
      <c r="H6" s="7"/>
      <c r="M6" s="4"/>
    </row>
    <row r="7" spans="2:13" x14ac:dyDescent="0.2">
      <c r="B7" s="5" t="s">
        <v>33</v>
      </c>
      <c r="E7" s="107">
        <v>8467</v>
      </c>
      <c r="F7" s="123">
        <v>8040</v>
      </c>
      <c r="H7" s="7"/>
    </row>
    <row r="8" spans="2:13" x14ac:dyDescent="0.2">
      <c r="B8" s="2" t="s">
        <v>5</v>
      </c>
      <c r="E8" s="59">
        <f>10-489</f>
        <v>-479</v>
      </c>
      <c r="F8" s="59">
        <f>19-347</f>
        <v>-328</v>
      </c>
      <c r="H8" s="7"/>
    </row>
    <row r="9" spans="2:13" x14ac:dyDescent="0.2">
      <c r="B9" s="5" t="s">
        <v>6</v>
      </c>
      <c r="C9" s="5"/>
      <c r="D9" s="5"/>
      <c r="E9" s="123">
        <v>7987</v>
      </c>
      <c r="F9" s="123">
        <v>7711</v>
      </c>
      <c r="H9" s="7"/>
    </row>
    <row r="10" spans="2:13" x14ac:dyDescent="0.2">
      <c r="B10" s="2" t="s">
        <v>7</v>
      </c>
      <c r="E10" s="59">
        <v>-4194</v>
      </c>
      <c r="F10" s="59">
        <v>-4362</v>
      </c>
      <c r="H10" s="7"/>
      <c r="M10" s="4"/>
    </row>
    <row r="11" spans="2:13" x14ac:dyDescent="0.2">
      <c r="B11" s="2" t="s">
        <v>8</v>
      </c>
      <c r="E11" s="59">
        <v>-25</v>
      </c>
      <c r="F11" s="111">
        <v>-22</v>
      </c>
      <c r="H11" s="7"/>
      <c r="M11" s="4"/>
    </row>
    <row r="12" spans="2:13" x14ac:dyDescent="0.2">
      <c r="B12" s="5" t="s">
        <v>9</v>
      </c>
      <c r="C12" s="5"/>
      <c r="D12" s="5"/>
      <c r="E12" s="123">
        <f>SUM(E9:E11)</f>
        <v>3768</v>
      </c>
      <c r="F12" s="123">
        <f>SUM(F9:F11)</f>
        <v>3327</v>
      </c>
      <c r="H12" s="7"/>
    </row>
    <row r="13" spans="2:13" x14ac:dyDescent="0.2">
      <c r="B13" s="2" t="s">
        <v>10</v>
      </c>
      <c r="E13" s="59">
        <f>E8</f>
        <v>-479</v>
      </c>
      <c r="F13" s="59">
        <f>F8</f>
        <v>-328</v>
      </c>
      <c r="H13" s="7"/>
    </row>
    <row r="14" spans="2:13" x14ac:dyDescent="0.2">
      <c r="B14" s="5" t="s">
        <v>11</v>
      </c>
      <c r="E14" s="59">
        <f>E11</f>
        <v>-25</v>
      </c>
      <c r="F14" s="59">
        <f>F11</f>
        <v>-22</v>
      </c>
      <c r="H14" s="7"/>
      <c r="M14" s="4"/>
    </row>
    <row r="15" spans="2:13" x14ac:dyDescent="0.2">
      <c r="B15" s="5" t="s">
        <v>12</v>
      </c>
      <c r="E15" s="123">
        <v>4273</v>
      </c>
      <c r="F15" s="123">
        <f>F12-F13-F14</f>
        <v>3677</v>
      </c>
      <c r="H15" s="7"/>
    </row>
    <row r="16" spans="2:13" x14ac:dyDescent="0.2">
      <c r="B16" s="2" t="s">
        <v>57</v>
      </c>
      <c r="E16" s="59">
        <f>E6</f>
        <v>17</v>
      </c>
      <c r="F16" s="59">
        <f>+F6</f>
        <v>-85</v>
      </c>
      <c r="H16" s="7"/>
    </row>
    <row r="17" spans="1:17" x14ac:dyDescent="0.2">
      <c r="B17" s="5" t="s">
        <v>14</v>
      </c>
      <c r="C17" s="5"/>
      <c r="D17" s="5"/>
      <c r="E17" s="123">
        <f>E15-E16</f>
        <v>4256</v>
      </c>
      <c r="F17" s="123">
        <f>F15-F16</f>
        <v>3762</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5.75" thickBot="1" x14ac:dyDescent="0.3">
      <c r="A21" s="77"/>
      <c r="B21" s="83"/>
      <c r="C21" s="83"/>
      <c r="D21" s="83"/>
      <c r="E21" s="83"/>
      <c r="F21" s="83"/>
      <c r="G21" s="83"/>
    </row>
    <row r="22" spans="1:17" ht="15" x14ac:dyDescent="0.25">
      <c r="A22" s="77"/>
      <c r="B22" s="144" t="s">
        <v>36</v>
      </c>
      <c r="C22" s="145"/>
      <c r="D22" s="84"/>
      <c r="E22" s="84"/>
      <c r="F22" s="84"/>
      <c r="G22" s="85"/>
    </row>
    <row r="23" spans="1:17" ht="15" x14ac:dyDescent="0.25">
      <c r="A23" s="77"/>
      <c r="B23" s="146"/>
      <c r="C23" s="147"/>
      <c r="D23" s="86"/>
      <c r="E23" s="86"/>
      <c r="F23" s="97">
        <v>2024</v>
      </c>
      <c r="G23" s="87"/>
    </row>
    <row r="24" spans="1:17" ht="15" x14ac:dyDescent="0.25">
      <c r="A24" s="77"/>
      <c r="B24" s="88" t="s">
        <v>17</v>
      </c>
      <c r="C24" s="86"/>
      <c r="D24" s="86"/>
      <c r="E24" s="86"/>
      <c r="F24" s="98" t="s">
        <v>18</v>
      </c>
      <c r="G24" s="89"/>
    </row>
    <row r="25" spans="1:17" ht="15" x14ac:dyDescent="0.25">
      <c r="A25" s="77"/>
      <c r="B25" s="88" t="s">
        <v>19</v>
      </c>
      <c r="C25" s="86"/>
      <c r="D25" s="86"/>
      <c r="E25" s="86"/>
      <c r="F25" s="98" t="s">
        <v>20</v>
      </c>
      <c r="G25" s="89"/>
    </row>
    <row r="26" spans="1:17" ht="15" x14ac:dyDescent="0.25">
      <c r="A26" s="77"/>
      <c r="B26" s="88" t="s">
        <v>21</v>
      </c>
      <c r="C26" s="86"/>
      <c r="D26" s="86"/>
      <c r="E26" s="86"/>
      <c r="F26" s="76" t="s">
        <v>52</v>
      </c>
      <c r="G26" s="90"/>
    </row>
    <row r="27" spans="1:17" ht="15" x14ac:dyDescent="0.25">
      <c r="A27" s="77"/>
      <c r="B27" s="88"/>
      <c r="C27" s="86"/>
      <c r="D27" s="86"/>
      <c r="E27" s="86"/>
      <c r="F27" s="76"/>
      <c r="G27" s="90"/>
    </row>
    <row r="28" spans="1:17" ht="15" x14ac:dyDescent="0.25">
      <c r="A28" s="77"/>
      <c r="B28" s="88" t="s">
        <v>23</v>
      </c>
      <c r="C28" s="86"/>
      <c r="D28" s="86"/>
      <c r="E28" s="86"/>
      <c r="F28" s="76" t="s">
        <v>20</v>
      </c>
      <c r="G28" s="90"/>
    </row>
    <row r="29" spans="1:17" ht="15" x14ac:dyDescent="0.25">
      <c r="A29" s="77"/>
      <c r="B29" s="88" t="s">
        <v>42</v>
      </c>
      <c r="C29" s="86"/>
      <c r="D29" s="86"/>
      <c r="E29" s="86"/>
      <c r="F29" s="76" t="s">
        <v>53</v>
      </c>
      <c r="G29" s="90"/>
    </row>
    <row r="30" spans="1:17" ht="15" x14ac:dyDescent="0.25">
      <c r="A30" s="77"/>
      <c r="B30" s="88"/>
      <c r="C30" s="86"/>
      <c r="D30" s="86"/>
      <c r="E30" s="86"/>
      <c r="F30" s="76"/>
      <c r="G30" s="90"/>
    </row>
    <row r="31" spans="1:17" ht="15" x14ac:dyDescent="0.25">
      <c r="A31" s="77"/>
      <c r="B31" s="99" t="s">
        <v>44</v>
      </c>
      <c r="C31" s="86"/>
      <c r="D31" s="86"/>
      <c r="E31" s="86"/>
      <c r="F31" s="76"/>
      <c r="G31" s="90"/>
    </row>
    <row r="32" spans="1:17" ht="15" x14ac:dyDescent="0.25">
      <c r="A32" s="77"/>
      <c r="B32" s="99" t="s">
        <v>28</v>
      </c>
      <c r="C32" s="86"/>
      <c r="D32" s="86"/>
      <c r="E32" s="86"/>
      <c r="F32" s="76"/>
      <c r="G32" s="90"/>
    </row>
    <row r="33" spans="1:7" ht="15" x14ac:dyDescent="0.25">
      <c r="A33" s="77"/>
      <c r="B33" s="99" t="s">
        <v>45</v>
      </c>
      <c r="C33" s="86"/>
      <c r="D33" s="86"/>
      <c r="E33" s="86"/>
      <c r="F33" s="76"/>
      <c r="G33" s="90"/>
    </row>
    <row r="34" spans="1:7" ht="15.75" thickBot="1" x14ac:dyDescent="0.3">
      <c r="A34" s="77"/>
      <c r="B34" s="91" t="s">
        <v>54</v>
      </c>
      <c r="C34" s="92"/>
      <c r="D34" s="92"/>
      <c r="E34" s="92"/>
      <c r="F34" s="92"/>
      <c r="G34" s="93"/>
    </row>
    <row r="35" spans="1:7" ht="15" x14ac:dyDescent="0.25">
      <c r="A35" s="77"/>
      <c r="B35" s="94"/>
      <c r="C35" s="86"/>
      <c r="D35" s="86"/>
      <c r="E35" s="86"/>
      <c r="F35" s="86"/>
      <c r="G35" s="76"/>
    </row>
    <row r="36" spans="1:7" ht="15" x14ac:dyDescent="0.25">
      <c r="A36" s="77"/>
      <c r="B36" s="79"/>
      <c r="C36" s="86"/>
      <c r="D36" s="86"/>
      <c r="E36" s="86"/>
      <c r="F36" s="86"/>
      <c r="G36" s="76"/>
    </row>
    <row r="37" spans="1:7" x14ac:dyDescent="0.2">
      <c r="B37" s="33"/>
    </row>
  </sheetData>
  <mergeCells count="1">
    <mergeCell ref="B22:C23"/>
  </mergeCells>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&amp;C_x000D_&amp;1#&amp;"Calibri"&amp;8&amp;K000000 Sensitivity: Internal</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920CD-FCF4-48A2-A073-EC5452DC24C6}">
  <sheetPr>
    <tabColor theme="0" tint="-0.14999847407452621"/>
  </sheetPr>
  <dimension ref="B2:H29"/>
  <sheetViews>
    <sheetView workbookViewId="0"/>
  </sheetViews>
  <sheetFormatPr defaultColWidth="9.140625" defaultRowHeight="15" x14ac:dyDescent="0.25"/>
  <cols>
    <col min="1" max="1" width="9.140625" style="77"/>
    <col min="2" max="2" width="24.140625" style="77" customWidth="1"/>
    <col min="3" max="4" width="9.140625" style="77"/>
    <col min="5" max="5" width="27.7109375" style="77" customWidth="1"/>
    <col min="6" max="6" width="48.85546875" style="77" customWidth="1"/>
    <col min="7" max="16384" width="9.140625" style="77"/>
  </cols>
  <sheetData>
    <row r="2" spans="2:8" ht="15.75" x14ac:dyDescent="0.25">
      <c r="B2" s="75" t="s">
        <v>60</v>
      </c>
      <c r="C2" s="76"/>
      <c r="D2" s="76"/>
      <c r="E2" s="76"/>
      <c r="F2" s="76"/>
      <c r="G2" s="76"/>
      <c r="H2" s="76"/>
    </row>
    <row r="3" spans="2:8" x14ac:dyDescent="0.25">
      <c r="B3" s="76" t="s">
        <v>0</v>
      </c>
      <c r="C3" s="76"/>
      <c r="D3" s="76"/>
      <c r="E3" s="78" t="s">
        <v>61</v>
      </c>
      <c r="F3" s="78" t="s">
        <v>62</v>
      </c>
      <c r="G3" s="76"/>
      <c r="H3" s="78"/>
    </row>
    <row r="4" spans="2:8" x14ac:dyDescent="0.25">
      <c r="B4" s="76"/>
      <c r="C4" s="76"/>
      <c r="D4" s="76"/>
      <c r="E4" s="76"/>
      <c r="F4" s="95"/>
      <c r="G4" s="76"/>
      <c r="H4" s="76"/>
    </row>
    <row r="5" spans="2:8" x14ac:dyDescent="0.25">
      <c r="B5" s="79" t="s">
        <v>3</v>
      </c>
      <c r="C5" s="76"/>
      <c r="D5" s="76"/>
      <c r="E5" s="131">
        <f>E7-E6</f>
        <v>9284</v>
      </c>
      <c r="F5" s="131">
        <f>F7-F6</f>
        <v>8676</v>
      </c>
      <c r="G5" s="76"/>
      <c r="H5" s="80"/>
    </row>
    <row r="6" spans="2:8" x14ac:dyDescent="0.25">
      <c r="B6" s="76" t="s">
        <v>63</v>
      </c>
      <c r="C6" s="76"/>
      <c r="D6" s="76"/>
      <c r="E6" s="80">
        <v>-33</v>
      </c>
      <c r="F6" s="129">
        <v>611</v>
      </c>
      <c r="G6" s="76"/>
      <c r="H6" s="80"/>
    </row>
    <row r="7" spans="2:8" x14ac:dyDescent="0.25">
      <c r="B7" s="79" t="s">
        <v>33</v>
      </c>
      <c r="C7" s="76"/>
      <c r="D7" s="76"/>
      <c r="E7" s="130">
        <v>9251</v>
      </c>
      <c r="F7" s="131">
        <v>9287</v>
      </c>
      <c r="G7" s="76"/>
      <c r="H7" s="80"/>
    </row>
    <row r="8" spans="2:8" x14ac:dyDescent="0.25">
      <c r="B8" s="76" t="s">
        <v>5</v>
      </c>
      <c r="C8" s="76"/>
      <c r="D8" s="76"/>
      <c r="E8" s="132">
        <f>E9-E7</f>
        <v>-148</v>
      </c>
      <c r="F8" s="132">
        <f>F9-F7</f>
        <v>-157</v>
      </c>
      <c r="G8" s="76"/>
      <c r="H8" s="80"/>
    </row>
    <row r="9" spans="2:8" x14ac:dyDescent="0.25">
      <c r="B9" s="79" t="s">
        <v>6</v>
      </c>
      <c r="C9" s="76"/>
      <c r="D9" s="76"/>
      <c r="E9" s="130">
        <v>9103</v>
      </c>
      <c r="F9" s="131">
        <f>9130</f>
        <v>9130</v>
      </c>
      <c r="G9" s="81"/>
      <c r="H9" s="80"/>
    </row>
    <row r="10" spans="2:8" x14ac:dyDescent="0.25">
      <c r="B10" s="76" t="s">
        <v>7</v>
      </c>
      <c r="C10" s="76"/>
      <c r="D10" s="76"/>
      <c r="E10" s="80">
        <v>-4116</v>
      </c>
      <c r="F10" s="132">
        <v>-4171</v>
      </c>
      <c r="G10" s="76"/>
      <c r="H10" s="80"/>
    </row>
    <row r="11" spans="2:8" x14ac:dyDescent="0.25">
      <c r="B11" s="76" t="s">
        <v>8</v>
      </c>
      <c r="C11" s="76"/>
      <c r="D11" s="76"/>
      <c r="E11" s="80">
        <v>0</v>
      </c>
      <c r="F11" s="132">
        <v>-20</v>
      </c>
      <c r="G11" s="76"/>
      <c r="H11" s="80"/>
    </row>
    <row r="12" spans="2:8" x14ac:dyDescent="0.25">
      <c r="B12" s="79" t="s">
        <v>9</v>
      </c>
      <c r="C12" s="76"/>
      <c r="D12" s="76"/>
      <c r="E12" s="130">
        <v>4987</v>
      </c>
      <c r="F12" s="131">
        <f>4980</f>
        <v>4980</v>
      </c>
      <c r="G12" s="76"/>
      <c r="H12" s="80"/>
    </row>
    <row r="13" spans="2:8" x14ac:dyDescent="0.25">
      <c r="B13" s="76" t="s">
        <v>10</v>
      </c>
      <c r="C13" s="76"/>
      <c r="D13" s="76"/>
      <c r="E13" s="80">
        <f>E8</f>
        <v>-148</v>
      </c>
      <c r="F13" s="132">
        <f>F8</f>
        <v>-157</v>
      </c>
      <c r="G13" s="76"/>
      <c r="H13" s="80"/>
    </row>
    <row r="14" spans="2:8" x14ac:dyDescent="0.25">
      <c r="B14" s="79" t="s">
        <v>11</v>
      </c>
      <c r="C14" s="76"/>
      <c r="D14" s="76"/>
      <c r="E14" s="80">
        <f>E11</f>
        <v>0</v>
      </c>
      <c r="F14" s="132">
        <f>F11</f>
        <v>-20</v>
      </c>
      <c r="G14" s="76"/>
      <c r="H14" s="80"/>
    </row>
    <row r="15" spans="2:8" x14ac:dyDescent="0.25">
      <c r="B15" s="79" t="s">
        <v>12</v>
      </c>
      <c r="C15" s="76"/>
      <c r="D15" s="76"/>
      <c r="E15" s="131">
        <f>E12-E13+E14</f>
        <v>5135</v>
      </c>
      <c r="F15" s="131">
        <v>5115.9802299120029</v>
      </c>
      <c r="G15" s="76"/>
      <c r="H15" s="80"/>
    </row>
    <row r="16" spans="2:8" x14ac:dyDescent="0.25">
      <c r="B16" s="76" t="s">
        <v>57</v>
      </c>
      <c r="C16" s="76"/>
      <c r="D16" s="76"/>
      <c r="E16" s="132">
        <f>+E6</f>
        <v>-33</v>
      </c>
      <c r="F16" s="132">
        <f>+F6</f>
        <v>611</v>
      </c>
      <c r="G16" s="76"/>
      <c r="H16" s="80"/>
    </row>
    <row r="17" spans="2:8" x14ac:dyDescent="0.25">
      <c r="B17" s="79" t="s">
        <v>14</v>
      </c>
      <c r="C17" s="76"/>
      <c r="D17" s="76"/>
      <c r="E17" s="131">
        <f>E15-E16</f>
        <v>5168</v>
      </c>
      <c r="F17" s="131">
        <f>F15-F16</f>
        <v>4504.9802299120029</v>
      </c>
      <c r="G17" s="76"/>
      <c r="H17" s="80"/>
    </row>
    <row r="18" spans="2:8" x14ac:dyDescent="0.25">
      <c r="B18" s="76"/>
      <c r="C18" s="76"/>
      <c r="D18" s="76"/>
      <c r="E18" s="81"/>
      <c r="F18" s="81"/>
      <c r="G18" s="76"/>
      <c r="H18" s="76"/>
    </row>
    <row r="19" spans="2:8" x14ac:dyDescent="0.25">
      <c r="B19" s="76" t="s">
        <v>15</v>
      </c>
      <c r="C19" s="76"/>
      <c r="D19" s="76"/>
      <c r="E19" s="76"/>
      <c r="F19" s="76"/>
      <c r="G19" s="76"/>
      <c r="H19" s="76"/>
    </row>
    <row r="20" spans="2:8" x14ac:dyDescent="0.25">
      <c r="B20" s="82"/>
      <c r="C20" s="82"/>
      <c r="D20" s="82"/>
      <c r="E20" s="82"/>
      <c r="F20" s="82"/>
      <c r="G20" s="82"/>
      <c r="H20" s="82"/>
    </row>
    <row r="21" spans="2:8" ht="15.75" thickBot="1" x14ac:dyDescent="0.3">
      <c r="B21" s="83"/>
      <c r="C21" s="83"/>
      <c r="D21" s="83"/>
      <c r="E21" s="83"/>
      <c r="F21" s="83"/>
      <c r="G21" s="76"/>
      <c r="H21" s="76"/>
    </row>
    <row r="22" spans="2:8" x14ac:dyDescent="0.25">
      <c r="B22" s="144" t="s">
        <v>64</v>
      </c>
      <c r="C22" s="145"/>
      <c r="D22" s="84"/>
      <c r="E22" s="84"/>
      <c r="F22" s="85"/>
      <c r="G22" s="76"/>
      <c r="H22" s="76"/>
    </row>
    <row r="23" spans="2:8" x14ac:dyDescent="0.25">
      <c r="B23" s="146"/>
      <c r="C23" s="147"/>
      <c r="D23" s="86"/>
      <c r="E23" s="86"/>
      <c r="F23" s="87">
        <v>2023</v>
      </c>
      <c r="G23" s="76"/>
      <c r="H23" s="76"/>
    </row>
    <row r="24" spans="2:8" x14ac:dyDescent="0.25">
      <c r="B24" s="88" t="s">
        <v>65</v>
      </c>
      <c r="C24" s="86"/>
      <c r="D24" s="86"/>
      <c r="E24" s="86"/>
      <c r="F24" s="89" t="s">
        <v>66</v>
      </c>
      <c r="G24" s="76"/>
      <c r="H24" s="76"/>
    </row>
    <row r="25" spans="2:8" x14ac:dyDescent="0.25">
      <c r="B25" s="88" t="s">
        <v>67</v>
      </c>
      <c r="C25" s="86"/>
      <c r="D25" s="86"/>
      <c r="E25" s="86"/>
      <c r="F25" s="89" t="s">
        <v>68</v>
      </c>
      <c r="G25" s="76"/>
      <c r="H25" s="76"/>
    </row>
    <row r="26" spans="2:8" x14ac:dyDescent="0.25">
      <c r="B26" s="88" t="s">
        <v>69</v>
      </c>
      <c r="C26" s="86"/>
      <c r="D26" s="86"/>
      <c r="E26" s="86"/>
      <c r="F26" s="90" t="s">
        <v>52</v>
      </c>
      <c r="G26" s="76"/>
      <c r="H26" s="76"/>
    </row>
    <row r="27" spans="2:8" ht="15.75" thickBot="1" x14ac:dyDescent="0.3">
      <c r="B27" s="91" t="s">
        <v>70</v>
      </c>
      <c r="C27" s="92"/>
      <c r="D27" s="92"/>
      <c r="E27" s="92"/>
      <c r="F27" s="93"/>
      <c r="G27" s="76"/>
      <c r="H27" s="76"/>
    </row>
    <row r="28" spans="2:8" x14ac:dyDescent="0.25">
      <c r="B28" s="94"/>
      <c r="C28" s="86"/>
      <c r="D28" s="86"/>
      <c r="E28" s="86"/>
      <c r="F28" s="86"/>
      <c r="G28" s="76"/>
      <c r="H28" s="76"/>
    </row>
    <row r="29" spans="2:8" x14ac:dyDescent="0.25">
      <c r="B29" s="79"/>
      <c r="C29" s="86"/>
      <c r="D29" s="86"/>
      <c r="E29" s="86"/>
      <c r="F29" s="86"/>
      <c r="G29" s="76"/>
      <c r="H29" s="76"/>
    </row>
  </sheetData>
  <mergeCells count="1">
    <mergeCell ref="B22:C23"/>
  </mergeCells>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03093-6B87-4B94-ABE3-C831AD062948}">
  <sheetPr>
    <tabColor theme="0" tint="-0.14999847407452621"/>
  </sheetPr>
  <dimension ref="A2:Q32"/>
  <sheetViews>
    <sheetView showGridLines="0" zoomScale="99" zoomScaleNormal="99"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31.42578125" style="2" customWidth="1"/>
    <col min="7" max="7" width="19.57031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71</v>
      </c>
    </row>
    <row r="3" spans="2:13" x14ac:dyDescent="0.2">
      <c r="B3" s="2" t="s">
        <v>0</v>
      </c>
      <c r="E3" s="3" t="s">
        <v>48</v>
      </c>
      <c r="F3" s="3" t="s">
        <v>72</v>
      </c>
      <c r="H3" s="3"/>
    </row>
    <row r="4" spans="2:13" x14ac:dyDescent="0.2">
      <c r="M4" s="4"/>
    </row>
    <row r="5" spans="2:13" ht="15" x14ac:dyDescent="0.25">
      <c r="B5" s="5" t="s">
        <v>3</v>
      </c>
      <c r="E5" s="110">
        <f>E7-E6</f>
        <v>8808</v>
      </c>
      <c r="F5" s="110">
        <f>F7-F6</f>
        <v>8146</v>
      </c>
      <c r="H5" s="7"/>
      <c r="M5" s="4"/>
    </row>
    <row r="6" spans="2:13" ht="14.25" x14ac:dyDescent="0.2">
      <c r="B6" s="2" t="s">
        <v>63</v>
      </c>
      <c r="E6" s="109">
        <v>-41</v>
      </c>
      <c r="F6" s="59">
        <f>165+145</f>
        <v>310</v>
      </c>
      <c r="H6" s="7"/>
      <c r="M6" s="4"/>
    </row>
    <row r="7" spans="2:13" ht="15" x14ac:dyDescent="0.25">
      <c r="B7" s="5" t="s">
        <v>33</v>
      </c>
      <c r="E7" s="110">
        <v>8767</v>
      </c>
      <c r="F7" s="110">
        <v>8456</v>
      </c>
      <c r="H7" s="7"/>
    </row>
    <row r="8" spans="2:13" ht="14.25" x14ac:dyDescent="0.2">
      <c r="B8" s="2" t="s">
        <v>5</v>
      </c>
      <c r="E8" s="109">
        <v>-188</v>
      </c>
      <c r="F8" s="109">
        <v>-185</v>
      </c>
      <c r="H8" s="7"/>
    </row>
    <row r="9" spans="2:13" ht="15" x14ac:dyDescent="0.25">
      <c r="B9" s="5" t="s">
        <v>6</v>
      </c>
      <c r="E9" s="110">
        <f>+E7+E8</f>
        <v>8579</v>
      </c>
      <c r="F9" s="110">
        <f>+F7+F8</f>
        <v>8271</v>
      </c>
      <c r="H9" s="7"/>
    </row>
    <row r="10" spans="2:13" ht="14.25" x14ac:dyDescent="0.2">
      <c r="B10" s="2" t="s">
        <v>7</v>
      </c>
      <c r="E10" s="109">
        <v>-4205</v>
      </c>
      <c r="F10" s="109">
        <v>-4328</v>
      </c>
      <c r="H10" s="7"/>
      <c r="M10" s="4"/>
    </row>
    <row r="11" spans="2:13" ht="14.25" x14ac:dyDescent="0.2">
      <c r="B11" s="2" t="s">
        <v>8</v>
      </c>
      <c r="E11" s="108">
        <v>0</v>
      </c>
      <c r="F11" s="108">
        <v>-2500</v>
      </c>
      <c r="H11" s="7"/>
      <c r="M11" s="4"/>
    </row>
    <row r="12" spans="2:13" ht="15" x14ac:dyDescent="0.25">
      <c r="B12" s="5" t="s">
        <v>9</v>
      </c>
      <c r="E12" s="110">
        <f>+E11+E10+E9</f>
        <v>4374</v>
      </c>
      <c r="F12" s="110">
        <f>+F11+F10+F9</f>
        <v>1443</v>
      </c>
      <c r="H12" s="7"/>
    </row>
    <row r="13" spans="2:13" ht="14.25" x14ac:dyDescent="0.2">
      <c r="B13" s="2" t="s">
        <v>10</v>
      </c>
      <c r="E13" s="109">
        <f>E8</f>
        <v>-188</v>
      </c>
      <c r="F13" s="109">
        <f>F8</f>
        <v>-185</v>
      </c>
      <c r="H13" s="7"/>
    </row>
    <row r="14" spans="2:13" ht="14.25" x14ac:dyDescent="0.2">
      <c r="B14" s="5" t="s">
        <v>11</v>
      </c>
      <c r="E14" s="109">
        <f>E11</f>
        <v>0</v>
      </c>
      <c r="F14" s="109">
        <f>F11</f>
        <v>-2500</v>
      </c>
      <c r="H14" s="7"/>
      <c r="M14" s="4"/>
    </row>
    <row r="15" spans="2:13" ht="15" x14ac:dyDescent="0.25">
      <c r="B15" s="5" t="s">
        <v>12</v>
      </c>
      <c r="E15" s="110">
        <f>E12-E13-E14</f>
        <v>4562</v>
      </c>
      <c r="F15" s="110">
        <f>F12-F13-F14</f>
        <v>4128</v>
      </c>
      <c r="H15" s="7"/>
    </row>
    <row r="16" spans="2:13" ht="14.25" x14ac:dyDescent="0.2">
      <c r="B16" s="2" t="s">
        <v>73</v>
      </c>
      <c r="E16" s="109">
        <f>+E6</f>
        <v>-41</v>
      </c>
      <c r="F16" s="109">
        <f>+F6</f>
        <v>310</v>
      </c>
      <c r="H16" s="7"/>
    </row>
    <row r="17" spans="1:17" ht="14.25" x14ac:dyDescent="0.2">
      <c r="B17" s="2" t="s">
        <v>74</v>
      </c>
      <c r="E17" s="109">
        <v>-34</v>
      </c>
      <c r="F17" s="109"/>
      <c r="H17" s="7"/>
    </row>
    <row r="18" spans="1:17" ht="15" x14ac:dyDescent="0.25">
      <c r="B18" s="5" t="s">
        <v>14</v>
      </c>
      <c r="E18" s="110">
        <f>E15-E16-E17</f>
        <v>4637</v>
      </c>
      <c r="F18" s="110">
        <f>F15-F16-F17</f>
        <v>3818</v>
      </c>
      <c r="H18" s="7"/>
    </row>
    <row r="20" spans="1:17" s="10" customFormat="1" ht="15" x14ac:dyDescent="0.2">
      <c r="A20" s="2"/>
      <c r="B20" s="2" t="s">
        <v>15</v>
      </c>
      <c r="C20" s="2"/>
      <c r="D20" s="2"/>
      <c r="E20" s="2"/>
      <c r="F20" s="2"/>
      <c r="G20" s="2"/>
      <c r="H20" s="2"/>
      <c r="I20" s="2"/>
      <c r="J20" s="2"/>
    </row>
    <row r="21" spans="1:17" x14ac:dyDescent="0.2">
      <c r="B21" s="11"/>
      <c r="C21" s="11"/>
      <c r="D21" s="11"/>
      <c r="E21" s="11"/>
      <c r="F21" s="11"/>
      <c r="G21" s="11"/>
      <c r="H21" s="11"/>
      <c r="I21" s="11"/>
      <c r="J21" s="11"/>
      <c r="K21" s="11"/>
      <c r="L21" s="11"/>
      <c r="M21" s="12"/>
      <c r="N21" s="12"/>
      <c r="O21" s="12"/>
      <c r="P21" s="12"/>
      <c r="Q21" s="12"/>
    </row>
    <row r="22" spans="1:17" ht="13.5" thickBot="1" x14ac:dyDescent="0.25">
      <c r="B22" s="13"/>
      <c r="C22" s="13"/>
      <c r="D22" s="13"/>
      <c r="E22" s="13"/>
      <c r="F22" s="13"/>
      <c r="G22" s="13"/>
      <c r="H22" s="13"/>
      <c r="I22" s="13"/>
      <c r="J22" s="13"/>
      <c r="K22" s="13"/>
      <c r="L22" s="13"/>
    </row>
    <row r="23" spans="1:17" ht="15.6" customHeight="1" x14ac:dyDescent="0.2">
      <c r="B23" s="151" t="s">
        <v>64</v>
      </c>
      <c r="C23" s="152"/>
      <c r="D23" s="15"/>
      <c r="E23" s="15"/>
      <c r="F23" s="61"/>
      <c r="G23" s="21"/>
      <c r="I23" s="4"/>
      <c r="J23" s="4"/>
      <c r="K23" s="4"/>
      <c r="L23" s="4"/>
    </row>
    <row r="24" spans="1:17" ht="14.45" customHeight="1" x14ac:dyDescent="0.2">
      <c r="B24" s="153"/>
      <c r="C24" s="154"/>
      <c r="F24" s="71">
        <v>2023</v>
      </c>
      <c r="G24" s="36"/>
      <c r="J24" s="4"/>
      <c r="K24" s="4"/>
      <c r="L24" s="4"/>
    </row>
    <row r="25" spans="1:17" ht="14.25" x14ac:dyDescent="0.2">
      <c r="B25" s="44" t="s">
        <v>65</v>
      </c>
      <c r="F25" s="72" t="s">
        <v>75</v>
      </c>
      <c r="G25" s="37" t="s">
        <v>76</v>
      </c>
      <c r="H25" s="23"/>
      <c r="I25" s="38"/>
      <c r="J25" s="4"/>
      <c r="K25" s="4"/>
      <c r="L25" s="4"/>
    </row>
    <row r="26" spans="1:17" ht="14.25" x14ac:dyDescent="0.2">
      <c r="B26" s="44" t="s">
        <v>67</v>
      </c>
      <c r="F26" s="72" t="s">
        <v>75</v>
      </c>
      <c r="G26" s="39" t="s">
        <v>76</v>
      </c>
      <c r="H26" s="23"/>
      <c r="I26" s="38"/>
      <c r="J26" s="4"/>
      <c r="K26" s="4"/>
      <c r="L26" s="4"/>
    </row>
    <row r="27" spans="1:17" ht="14.25" x14ac:dyDescent="0.2">
      <c r="B27" s="44" t="s">
        <v>69</v>
      </c>
      <c r="F27" s="20" t="s">
        <v>52</v>
      </c>
      <c r="G27" s="40" t="s">
        <v>76</v>
      </c>
      <c r="H27" s="23"/>
      <c r="I27" s="38"/>
      <c r="J27" s="4"/>
      <c r="K27" s="4"/>
      <c r="L27" s="4"/>
    </row>
    <row r="28" spans="1:17" ht="14.1" customHeight="1" thickBot="1" x14ac:dyDescent="0.25">
      <c r="B28" s="67" t="s">
        <v>70</v>
      </c>
      <c r="C28" s="68"/>
      <c r="D28" s="68"/>
      <c r="E28" s="68"/>
      <c r="F28" s="69"/>
      <c r="G28" s="41"/>
      <c r="I28" s="42"/>
      <c r="J28" s="4"/>
      <c r="K28" s="4"/>
      <c r="L28" s="4"/>
    </row>
    <row r="29" spans="1:17" x14ac:dyDescent="0.2">
      <c r="B29" s="4"/>
    </row>
    <row r="30" spans="1:17" x14ac:dyDescent="0.2">
      <c r="B30" s="5"/>
    </row>
    <row r="31" spans="1:17" x14ac:dyDescent="0.2">
      <c r="B31" s="33"/>
    </row>
    <row r="32" spans="1:17" x14ac:dyDescent="0.2">
      <c r="B32" s="33"/>
    </row>
  </sheetData>
  <mergeCells count="1">
    <mergeCell ref="B23:C24"/>
  </mergeCells>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FC69B-055E-4539-8668-B7B21E734B72}">
  <sheetPr>
    <tabColor theme="0" tint="-0.14999847407452621"/>
  </sheetPr>
  <dimension ref="A3:P31"/>
  <sheetViews>
    <sheetView showGridLines="0" zoomScale="130" zoomScaleNormal="130" workbookViewId="0"/>
  </sheetViews>
  <sheetFormatPr defaultColWidth="9.140625" defaultRowHeight="12.75" x14ac:dyDescent="0.2"/>
  <cols>
    <col min="1" max="1" width="4.7109375" style="2" customWidth="1"/>
    <col min="2" max="2" width="17" style="2" customWidth="1"/>
    <col min="3" max="3" width="11.5703125" style="2" customWidth="1"/>
    <col min="4" max="4" width="18.85546875" style="2" customWidth="1"/>
    <col min="5" max="5" width="31.42578125" style="2" customWidth="1"/>
    <col min="6" max="6" width="36.7109375" style="2" customWidth="1"/>
    <col min="7" max="7" width="14.140625" style="2" customWidth="1"/>
    <col min="8" max="8" width="18.42578125" style="2" customWidth="1"/>
    <col min="9" max="10" width="9.140625" style="2"/>
    <col min="11" max="11" width="27.85546875" style="2" customWidth="1"/>
    <col min="12" max="13" width="9.140625" style="2"/>
    <col min="14" max="14" width="6.42578125" style="2" customWidth="1"/>
    <col min="15" max="16384" width="9.140625" style="2"/>
  </cols>
  <sheetData>
    <row r="3" spans="2:12" ht="15.75" x14ac:dyDescent="0.25">
      <c r="B3" s="1" t="s">
        <v>77</v>
      </c>
    </row>
    <row r="4" spans="2:12" x14ac:dyDescent="0.2">
      <c r="B4" s="2" t="s">
        <v>0</v>
      </c>
      <c r="E4" s="3" t="s">
        <v>78</v>
      </c>
      <c r="F4" s="3" t="s">
        <v>79</v>
      </c>
      <c r="H4" s="3"/>
      <c r="L4" s="4"/>
    </row>
    <row r="5" spans="2:12" x14ac:dyDescent="0.2">
      <c r="L5" s="4"/>
    </row>
    <row r="6" spans="2:12" ht="15" x14ac:dyDescent="0.25">
      <c r="B6" s="5" t="s">
        <v>3</v>
      </c>
      <c r="E6" s="73">
        <f>E8-E7</f>
        <v>8144</v>
      </c>
      <c r="F6" s="73">
        <f>F8-F7</f>
        <v>8025</v>
      </c>
      <c r="H6" s="7"/>
      <c r="L6" s="4"/>
    </row>
    <row r="7" spans="2:12" ht="15" x14ac:dyDescent="0.25">
      <c r="B7" s="2" t="s">
        <v>63</v>
      </c>
      <c r="E7" s="6">
        <v>-66</v>
      </c>
      <c r="F7" s="6">
        <v>23</v>
      </c>
      <c r="H7" s="7"/>
    </row>
    <row r="8" spans="2:12" ht="15" x14ac:dyDescent="0.25">
      <c r="B8" s="5" t="s">
        <v>33</v>
      </c>
      <c r="E8" s="74">
        <v>8078</v>
      </c>
      <c r="F8" s="74">
        <v>8048</v>
      </c>
      <c r="H8" s="7"/>
    </row>
    <row r="9" spans="2:12" ht="15" x14ac:dyDescent="0.25">
      <c r="B9" s="2" t="s">
        <v>5</v>
      </c>
      <c r="E9" s="6">
        <v>-225</v>
      </c>
      <c r="F9" s="6">
        <v>1598</v>
      </c>
      <c r="H9" s="7"/>
    </row>
    <row r="10" spans="2:12" ht="15" x14ac:dyDescent="0.25">
      <c r="B10" s="5" t="s">
        <v>6</v>
      </c>
      <c r="E10" s="73">
        <f>+E9+E8</f>
        <v>7853</v>
      </c>
      <c r="F10" s="73">
        <f>+F9+F8</f>
        <v>9646</v>
      </c>
      <c r="H10" s="7"/>
      <c r="L10" s="4"/>
    </row>
    <row r="11" spans="2:12" ht="15" x14ac:dyDescent="0.25">
      <c r="B11" s="2" t="s">
        <v>7</v>
      </c>
      <c r="E11" s="6">
        <v>-4019</v>
      </c>
      <c r="F11" s="6">
        <v>-4253</v>
      </c>
      <c r="H11" s="7"/>
      <c r="L11" s="4"/>
    </row>
    <row r="12" spans="2:12" ht="15" x14ac:dyDescent="0.25">
      <c r="B12" s="2" t="s">
        <v>8</v>
      </c>
      <c r="E12" s="8">
        <v>0</v>
      </c>
      <c r="F12" s="8">
        <v>0</v>
      </c>
      <c r="H12" s="7"/>
    </row>
    <row r="13" spans="2:12" ht="15" x14ac:dyDescent="0.25">
      <c r="B13" s="5" t="s">
        <v>9</v>
      </c>
      <c r="E13" s="73">
        <v>3834</v>
      </c>
      <c r="F13" s="73">
        <v>5393</v>
      </c>
      <c r="H13" s="7"/>
    </row>
    <row r="14" spans="2:12" ht="15" x14ac:dyDescent="0.25">
      <c r="B14" s="2" t="s">
        <v>10</v>
      </c>
      <c r="E14" s="6">
        <f>E9</f>
        <v>-225</v>
      </c>
      <c r="F14" s="6">
        <f>F9</f>
        <v>1598</v>
      </c>
      <c r="H14" s="7"/>
      <c r="L14" s="4"/>
    </row>
    <row r="15" spans="2:12" ht="15" x14ac:dyDescent="0.25">
      <c r="B15" s="5" t="s">
        <v>11</v>
      </c>
      <c r="E15" s="6">
        <f>E12</f>
        <v>0</v>
      </c>
      <c r="F15" s="6">
        <f>F12</f>
        <v>0</v>
      </c>
      <c r="H15" s="7"/>
    </row>
    <row r="16" spans="2:12" ht="15" x14ac:dyDescent="0.25">
      <c r="B16" s="5" t="s">
        <v>12</v>
      </c>
      <c r="E16" s="73">
        <f>E13-E14-E15</f>
        <v>4059</v>
      </c>
      <c r="F16" s="73">
        <f>F13-F14-F15</f>
        <v>3795</v>
      </c>
      <c r="H16" s="7"/>
    </row>
    <row r="17" spans="1:16" ht="15" x14ac:dyDescent="0.25">
      <c r="B17" s="2" t="s">
        <v>57</v>
      </c>
      <c r="E17" s="6">
        <f>+E7</f>
        <v>-66</v>
      </c>
      <c r="F17" s="6">
        <f>+F7</f>
        <v>23</v>
      </c>
      <c r="H17" s="7"/>
    </row>
    <row r="18" spans="1:16" ht="15" x14ac:dyDescent="0.25">
      <c r="B18" s="5" t="s">
        <v>14</v>
      </c>
      <c r="E18" s="73">
        <f>E16-E17</f>
        <v>4125</v>
      </c>
      <c r="F18" s="73">
        <f>F16-F17</f>
        <v>3772</v>
      </c>
      <c r="H18" s="7"/>
    </row>
    <row r="19" spans="1:16" s="10" customFormat="1" ht="15" x14ac:dyDescent="0.2">
      <c r="A19" s="2"/>
      <c r="B19" s="2"/>
      <c r="C19" s="2"/>
      <c r="D19" s="2"/>
      <c r="E19" s="2"/>
      <c r="F19" s="2"/>
      <c r="G19" s="2"/>
      <c r="H19" s="2"/>
      <c r="I19" s="2"/>
      <c r="J19" s="2"/>
      <c r="K19" s="2"/>
    </row>
    <row r="20" spans="1:16" ht="15" x14ac:dyDescent="0.2">
      <c r="B20" s="2" t="s">
        <v>15</v>
      </c>
      <c r="K20" s="10"/>
      <c r="L20" s="12"/>
      <c r="M20" s="12"/>
      <c r="N20" s="12"/>
      <c r="O20" s="12"/>
      <c r="P20" s="12"/>
    </row>
    <row r="21" spans="1:16" x14ac:dyDescent="0.2">
      <c r="B21" s="11"/>
      <c r="C21" s="11"/>
      <c r="D21" s="11"/>
      <c r="E21" s="11"/>
      <c r="F21" s="11"/>
      <c r="G21" s="11"/>
      <c r="H21" s="11"/>
      <c r="I21" s="11"/>
      <c r="J21" s="11"/>
      <c r="K21" s="11"/>
    </row>
    <row r="22" spans="1:16" ht="13.5" thickBot="1" x14ac:dyDescent="0.25">
      <c r="B22" s="13"/>
      <c r="C22" s="13"/>
      <c r="D22" s="13"/>
      <c r="E22" s="13"/>
      <c r="F22" s="13"/>
      <c r="G22" s="13"/>
      <c r="H22" s="13"/>
      <c r="I22" s="13"/>
      <c r="J22" s="13"/>
      <c r="K22" s="13"/>
    </row>
    <row r="23" spans="1:16" x14ac:dyDescent="0.2">
      <c r="B23" s="151" t="s">
        <v>64</v>
      </c>
      <c r="C23" s="152"/>
      <c r="D23" s="15"/>
      <c r="E23" s="15"/>
      <c r="F23" s="61"/>
      <c r="G23" s="21"/>
      <c r="I23" s="4"/>
      <c r="J23" s="4"/>
      <c r="K23" s="4"/>
    </row>
    <row r="24" spans="1:16" x14ac:dyDescent="0.2">
      <c r="B24" s="153"/>
      <c r="C24" s="154"/>
      <c r="F24" s="62">
        <v>2023</v>
      </c>
      <c r="G24" s="36"/>
      <c r="J24" s="4"/>
      <c r="K24" s="4"/>
    </row>
    <row r="25" spans="1:16" ht="14.25" x14ac:dyDescent="0.2">
      <c r="B25" s="44" t="s">
        <v>65</v>
      </c>
      <c r="F25" s="63" t="s">
        <v>80</v>
      </c>
      <c r="G25" s="37" t="s">
        <v>76</v>
      </c>
      <c r="H25" s="23"/>
      <c r="I25" s="38"/>
      <c r="J25" s="4"/>
      <c r="K25" s="4"/>
    </row>
    <row r="26" spans="1:16" ht="14.25" x14ac:dyDescent="0.2">
      <c r="B26" s="44" t="s">
        <v>67</v>
      </c>
      <c r="F26" s="63" t="s">
        <v>80</v>
      </c>
      <c r="G26" s="39" t="s">
        <v>76</v>
      </c>
      <c r="H26" s="23"/>
      <c r="I26" s="38"/>
      <c r="J26" s="4"/>
      <c r="K26" s="4"/>
    </row>
    <row r="27" spans="1:16" ht="14.25" x14ac:dyDescent="0.2">
      <c r="B27" s="44" t="s">
        <v>69</v>
      </c>
      <c r="F27" s="70" t="s">
        <v>52</v>
      </c>
      <c r="G27" s="40" t="s">
        <v>76</v>
      </c>
      <c r="H27" s="23"/>
      <c r="I27" s="38"/>
      <c r="J27" s="4"/>
      <c r="K27" s="4"/>
    </row>
    <row r="28" spans="1:16" ht="13.5" thickBot="1" x14ac:dyDescent="0.25">
      <c r="B28" s="67" t="s">
        <v>70</v>
      </c>
      <c r="C28" s="68"/>
      <c r="D28" s="68"/>
      <c r="E28" s="68"/>
      <c r="F28" s="69"/>
      <c r="G28" s="41"/>
      <c r="I28" s="42"/>
      <c r="J28" s="4"/>
      <c r="K28" s="4"/>
    </row>
    <row r="29" spans="1:16" x14ac:dyDescent="0.2">
      <c r="B29" s="4"/>
    </row>
    <row r="30" spans="1:16" x14ac:dyDescent="0.2">
      <c r="B30" s="5"/>
    </row>
    <row r="31" spans="1:16" x14ac:dyDescent="0.2">
      <c r="A31" s="33"/>
    </row>
  </sheetData>
  <mergeCells count="1">
    <mergeCell ref="B23:C24"/>
  </mergeCells>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C1417-9DE2-4F2E-A700-7874D4C3980A}">
  <sheetPr>
    <tabColor theme="0" tint="-0.14999847407452621"/>
  </sheetPr>
  <dimension ref="A2:Q31"/>
  <sheetViews>
    <sheetView showGridLines="0" zoomScale="130" zoomScaleNormal="13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31.42578125" style="2" customWidth="1"/>
    <col min="7" max="7" width="19.57031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81</v>
      </c>
    </row>
    <row r="3" spans="2:13" x14ac:dyDescent="0.2">
      <c r="B3" s="2" t="s">
        <v>0</v>
      </c>
      <c r="E3" s="3" t="s">
        <v>59</v>
      </c>
      <c r="F3" s="3" t="s">
        <v>82</v>
      </c>
      <c r="H3" s="3"/>
    </row>
    <row r="4" spans="2:13" x14ac:dyDescent="0.2">
      <c r="M4" s="4"/>
    </row>
    <row r="5" spans="2:13" ht="15" x14ac:dyDescent="0.25">
      <c r="B5" s="5" t="s">
        <v>3</v>
      </c>
      <c r="E5" s="6">
        <f>E7-E6</f>
        <v>10283</v>
      </c>
      <c r="F5" s="6">
        <f>F7-F6</f>
        <v>10103</v>
      </c>
      <c r="H5" s="7"/>
      <c r="M5" s="4"/>
    </row>
    <row r="6" spans="2:13" ht="15" x14ac:dyDescent="0.25">
      <c r="B6" s="2" t="s">
        <v>63</v>
      </c>
      <c r="E6" s="6">
        <f>-57-80</f>
        <v>-137</v>
      </c>
      <c r="F6" s="6">
        <v>45</v>
      </c>
      <c r="H6" s="7"/>
      <c r="M6" s="4"/>
    </row>
    <row r="7" spans="2:13" ht="15" x14ac:dyDescent="0.25">
      <c r="B7" s="5" t="s">
        <v>33</v>
      </c>
      <c r="E7" s="9">
        <v>10146</v>
      </c>
      <c r="F7" s="9">
        <v>10148</v>
      </c>
      <c r="H7" s="7"/>
    </row>
    <row r="8" spans="2:13" ht="15" x14ac:dyDescent="0.25">
      <c r="B8" s="2" t="s">
        <v>5</v>
      </c>
      <c r="E8" s="6">
        <v>-338</v>
      </c>
      <c r="F8" s="6">
        <v>-1205</v>
      </c>
      <c r="H8" s="7"/>
    </row>
    <row r="9" spans="2:13" ht="15" x14ac:dyDescent="0.25">
      <c r="B9" s="5" t="s">
        <v>6</v>
      </c>
      <c r="E9" s="6">
        <f>+E7+E8+1</f>
        <v>9809</v>
      </c>
      <c r="F9" s="6">
        <f>+F7+F8</f>
        <v>8943</v>
      </c>
      <c r="H9" s="7"/>
    </row>
    <row r="10" spans="2:13" ht="15" x14ac:dyDescent="0.25">
      <c r="B10" s="2" t="s">
        <v>7</v>
      </c>
      <c r="E10" s="6">
        <v>-5874</v>
      </c>
      <c r="F10" s="6">
        <v>-5806</v>
      </c>
      <c r="H10" s="7"/>
      <c r="M10" s="4"/>
    </row>
    <row r="11" spans="2:13" ht="15" x14ac:dyDescent="0.25">
      <c r="B11" s="2" t="s">
        <v>8</v>
      </c>
      <c r="E11" s="8">
        <v>-22</v>
      </c>
      <c r="F11" s="8">
        <v>1</v>
      </c>
      <c r="H11" s="7"/>
      <c r="M11" s="4"/>
    </row>
    <row r="12" spans="2:13" ht="15" x14ac:dyDescent="0.25">
      <c r="B12" s="5" t="s">
        <v>9</v>
      </c>
      <c r="E12" s="6">
        <v>3913</v>
      </c>
      <c r="F12" s="6">
        <v>3137</v>
      </c>
      <c r="H12" s="7"/>
    </row>
    <row r="13" spans="2:13" ht="15" x14ac:dyDescent="0.25">
      <c r="B13" s="2" t="s">
        <v>10</v>
      </c>
      <c r="E13" s="6">
        <f>E8</f>
        <v>-338</v>
      </c>
      <c r="F13" s="6">
        <f>F8</f>
        <v>-1205</v>
      </c>
      <c r="H13" s="7"/>
    </row>
    <row r="14" spans="2:13" ht="15" x14ac:dyDescent="0.25">
      <c r="B14" s="5" t="s">
        <v>11</v>
      </c>
      <c r="E14" s="6">
        <f>E11</f>
        <v>-22</v>
      </c>
      <c r="F14" s="6">
        <f>F11</f>
        <v>1</v>
      </c>
      <c r="H14" s="7"/>
      <c r="M14" s="4"/>
    </row>
    <row r="15" spans="2:13" ht="15" x14ac:dyDescent="0.25">
      <c r="B15" s="5" t="s">
        <v>12</v>
      </c>
      <c r="E15" s="6">
        <f>E12-E13-E14</f>
        <v>4273</v>
      </c>
      <c r="F15" s="6">
        <f>F12-F13-F14</f>
        <v>4341</v>
      </c>
      <c r="H15" s="7"/>
    </row>
    <row r="16" spans="2:13" ht="15" x14ac:dyDescent="0.25">
      <c r="B16" s="2" t="s">
        <v>57</v>
      </c>
      <c r="E16" s="6">
        <f>+E6</f>
        <v>-137</v>
      </c>
      <c r="F16" s="6">
        <f>F6</f>
        <v>45</v>
      </c>
      <c r="H16" s="7"/>
    </row>
    <row r="17" spans="1:17" ht="15" x14ac:dyDescent="0.25">
      <c r="B17" s="5" t="s">
        <v>14</v>
      </c>
      <c r="E17" s="6">
        <f>E15-E16</f>
        <v>4410</v>
      </c>
      <c r="F17" s="6">
        <f>F15-F16</f>
        <v>4296</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3.5" thickBot="1" x14ac:dyDescent="0.25">
      <c r="B21" s="13"/>
      <c r="C21" s="13"/>
      <c r="D21" s="13"/>
      <c r="E21" s="13"/>
      <c r="F21" s="13"/>
      <c r="G21" s="13"/>
      <c r="H21" s="13"/>
      <c r="I21" s="13"/>
      <c r="J21" s="13"/>
      <c r="K21" s="13"/>
      <c r="L21" s="13"/>
    </row>
    <row r="22" spans="1:17" ht="15.75" x14ac:dyDescent="0.25">
      <c r="B22" s="14" t="s">
        <v>64</v>
      </c>
      <c r="C22" s="15"/>
      <c r="D22" s="15"/>
      <c r="E22" s="15"/>
      <c r="F22" s="61"/>
      <c r="G22" s="21"/>
      <c r="I22" s="4"/>
      <c r="J22" s="4"/>
      <c r="K22" s="4"/>
      <c r="L22" s="4"/>
    </row>
    <row r="23" spans="1:17" ht="14.25" x14ac:dyDescent="0.2">
      <c r="B23" s="17"/>
      <c r="F23" s="62">
        <v>2023</v>
      </c>
      <c r="G23" s="36"/>
      <c r="J23" s="4"/>
      <c r="K23" s="4"/>
      <c r="L23" s="4"/>
    </row>
    <row r="24" spans="1:17" ht="14.25" x14ac:dyDescent="0.2">
      <c r="B24" s="44" t="s">
        <v>65</v>
      </c>
      <c r="F24" s="63" t="s">
        <v>80</v>
      </c>
      <c r="G24" s="37" t="s">
        <v>76</v>
      </c>
      <c r="H24" s="23"/>
      <c r="I24" s="38"/>
      <c r="J24" s="4"/>
      <c r="K24" s="4"/>
      <c r="L24" s="4"/>
    </row>
    <row r="25" spans="1:17" ht="14.25" x14ac:dyDescent="0.2">
      <c r="B25" s="44" t="s">
        <v>67</v>
      </c>
      <c r="F25" s="63" t="s">
        <v>80</v>
      </c>
      <c r="G25" s="39" t="s">
        <v>76</v>
      </c>
      <c r="H25" s="23"/>
      <c r="I25" s="38"/>
      <c r="J25" s="4"/>
      <c r="K25" s="4"/>
      <c r="L25" s="4"/>
    </row>
    <row r="26" spans="1:17" ht="15" thickBot="1" x14ac:dyDescent="0.25">
      <c r="B26" s="64" t="s">
        <v>69</v>
      </c>
      <c r="C26" s="65"/>
      <c r="D26" s="65"/>
      <c r="E26" s="65"/>
      <c r="F26" s="66" t="s">
        <v>52</v>
      </c>
      <c r="G26" s="40" t="s">
        <v>76</v>
      </c>
      <c r="H26" s="23"/>
      <c r="I26" s="38"/>
      <c r="J26" s="4"/>
      <c r="K26" s="4"/>
      <c r="L26" s="4"/>
    </row>
    <row r="27" spans="1:17" ht="13.5" thickBot="1" x14ac:dyDescent="0.25">
      <c r="B27" s="67" t="s">
        <v>83</v>
      </c>
      <c r="C27" s="68"/>
      <c r="D27" s="68"/>
      <c r="E27" s="68"/>
      <c r="F27" s="69"/>
      <c r="G27" s="43"/>
      <c r="H27" s="4"/>
      <c r="I27" s="4"/>
      <c r="J27" s="4"/>
      <c r="K27" s="4"/>
      <c r="L27" s="4"/>
    </row>
    <row r="28" spans="1:17" x14ac:dyDescent="0.2">
      <c r="B28" s="4"/>
    </row>
    <row r="29" spans="1:17" x14ac:dyDescent="0.2">
      <c r="B29" s="5"/>
    </row>
    <row r="30" spans="1:17" x14ac:dyDescent="0.2">
      <c r="B30" s="33"/>
    </row>
    <row r="31" spans="1:17" x14ac:dyDescent="0.2">
      <c r="B31" s="33"/>
    </row>
  </sheetData>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042DE-0610-4818-B7A6-C8691A7CD828}">
  <sheetPr>
    <tabColor theme="0" tint="-0.14999847407452621"/>
  </sheetPr>
  <dimension ref="A2:Q32"/>
  <sheetViews>
    <sheetView showGridLines="0" zoomScale="130" zoomScaleNormal="13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24" style="2" customWidth="1"/>
    <col min="7" max="7" width="19.57031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84</v>
      </c>
    </row>
    <row r="3" spans="2:13" x14ac:dyDescent="0.2">
      <c r="B3" s="2" t="s">
        <v>0</v>
      </c>
      <c r="E3" s="3" t="s">
        <v>62</v>
      </c>
      <c r="F3" s="3" t="s">
        <v>85</v>
      </c>
      <c r="H3" s="3"/>
    </row>
    <row r="4" spans="2:13" x14ac:dyDescent="0.2">
      <c r="M4" s="4"/>
    </row>
    <row r="5" spans="2:13" ht="15" x14ac:dyDescent="0.25">
      <c r="B5" s="5" t="s">
        <v>3</v>
      </c>
      <c r="E5" s="6">
        <f>E7-E6</f>
        <v>12448</v>
      </c>
      <c r="F5" s="6">
        <f>F7-F6</f>
        <v>12841</v>
      </c>
      <c r="H5" s="7"/>
      <c r="M5" s="4"/>
    </row>
    <row r="6" spans="2:13" x14ac:dyDescent="0.2">
      <c r="B6" s="2" t="s">
        <v>63</v>
      </c>
      <c r="E6" s="58">
        <v>611</v>
      </c>
      <c r="F6" s="58">
        <f>-84+54+45</f>
        <v>15</v>
      </c>
      <c r="H6" s="7"/>
      <c r="M6" s="4"/>
    </row>
    <row r="7" spans="2:13" ht="15" x14ac:dyDescent="0.25">
      <c r="B7" s="5" t="s">
        <v>33</v>
      </c>
      <c r="E7" s="9">
        <v>13059</v>
      </c>
      <c r="F7" s="9">
        <v>12856</v>
      </c>
      <c r="H7" s="7"/>
    </row>
    <row r="8" spans="2:13" ht="15" x14ac:dyDescent="0.25">
      <c r="B8" s="2" t="s">
        <v>5</v>
      </c>
      <c r="E8" s="6">
        <f>-223+55</f>
        <v>-168</v>
      </c>
      <c r="F8" s="6">
        <f>-174+21</f>
        <v>-153</v>
      </c>
      <c r="H8" s="7"/>
    </row>
    <row r="9" spans="2:13" ht="15" x14ac:dyDescent="0.25">
      <c r="B9" s="5" t="s">
        <v>6</v>
      </c>
      <c r="E9" s="6">
        <f>+E7+E8</f>
        <v>12891</v>
      </c>
      <c r="F9" s="6">
        <f>+F7+F8</f>
        <v>12703</v>
      </c>
      <c r="H9" s="7"/>
    </row>
    <row r="10" spans="2:13" ht="15" x14ac:dyDescent="0.25">
      <c r="B10" s="2" t="s">
        <v>7</v>
      </c>
      <c r="E10" s="6">
        <v>-6459</v>
      </c>
      <c r="F10" s="6">
        <v>-6616.7</v>
      </c>
      <c r="H10" s="7"/>
      <c r="M10" s="4"/>
    </row>
    <row r="11" spans="2:13" ht="15" x14ac:dyDescent="0.25">
      <c r="B11" s="2" t="s">
        <v>8</v>
      </c>
      <c r="E11" s="8">
        <v>20</v>
      </c>
      <c r="F11" s="8">
        <v>4.3</v>
      </c>
      <c r="H11" s="7"/>
      <c r="M11" s="4"/>
    </row>
    <row r="12" spans="2:13" ht="15" x14ac:dyDescent="0.25">
      <c r="B12" s="5" t="s">
        <v>9</v>
      </c>
      <c r="E12" s="6">
        <f>6453</f>
        <v>6453</v>
      </c>
      <c r="F12" s="6">
        <f>+F11+F10+F9</f>
        <v>6090.6</v>
      </c>
      <c r="H12" s="7"/>
    </row>
    <row r="13" spans="2:13" ht="15" x14ac:dyDescent="0.25">
      <c r="B13" s="2" t="s">
        <v>10</v>
      </c>
      <c r="E13" s="6">
        <f>E8</f>
        <v>-168</v>
      </c>
      <c r="F13" s="6">
        <f>F8</f>
        <v>-153</v>
      </c>
      <c r="H13" s="7"/>
    </row>
    <row r="14" spans="2:13" ht="15" x14ac:dyDescent="0.25">
      <c r="B14" s="5" t="s">
        <v>11</v>
      </c>
      <c r="E14" s="6">
        <f>E11</f>
        <v>20</v>
      </c>
      <c r="F14" s="6">
        <f>F11</f>
        <v>4.3</v>
      </c>
      <c r="H14" s="7"/>
      <c r="M14" s="4"/>
    </row>
    <row r="15" spans="2:13" ht="15" x14ac:dyDescent="0.25">
      <c r="B15" s="5" t="s">
        <v>12</v>
      </c>
      <c r="E15" s="6">
        <f>E12-E13-E14</f>
        <v>6601</v>
      </c>
      <c r="F15" s="6">
        <f>F12-F13-F14</f>
        <v>6239.3</v>
      </c>
      <c r="H15" s="7"/>
    </row>
    <row r="16" spans="2:13" ht="15" x14ac:dyDescent="0.25">
      <c r="B16" s="2" t="s">
        <v>57</v>
      </c>
      <c r="E16" s="6">
        <f>+E6</f>
        <v>611</v>
      </c>
      <c r="F16" s="6">
        <f>+F6</f>
        <v>15</v>
      </c>
      <c r="H16" s="7"/>
    </row>
    <row r="17" spans="1:17" ht="15" x14ac:dyDescent="0.25">
      <c r="B17" s="5" t="s">
        <v>14</v>
      </c>
      <c r="E17" s="6">
        <f>E15-E16</f>
        <v>5990</v>
      </c>
      <c r="F17" s="6">
        <f>F15-F16</f>
        <v>6224.3</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3.5" thickBot="1" x14ac:dyDescent="0.25">
      <c r="B21" s="13"/>
      <c r="C21" s="13"/>
      <c r="D21" s="13"/>
      <c r="E21" s="13"/>
      <c r="F21" s="13"/>
      <c r="G21" s="13"/>
      <c r="H21" s="13"/>
      <c r="I21" s="13"/>
      <c r="J21" s="13"/>
      <c r="K21" s="13"/>
      <c r="L21" s="13"/>
    </row>
    <row r="22" spans="1:17" ht="15.75" x14ac:dyDescent="0.25">
      <c r="B22" s="14" t="s">
        <v>86</v>
      </c>
      <c r="C22" s="15"/>
      <c r="D22" s="15"/>
      <c r="E22" s="15"/>
      <c r="F22" s="61"/>
      <c r="G22" s="21"/>
      <c r="I22" s="4"/>
      <c r="J22" s="4"/>
      <c r="K22" s="4"/>
      <c r="L22" s="4"/>
    </row>
    <row r="23" spans="1:17" ht="14.25" x14ac:dyDescent="0.2">
      <c r="B23" s="17"/>
      <c r="F23" s="62">
        <v>2022</v>
      </c>
      <c r="G23" s="36"/>
      <c r="J23" s="4"/>
      <c r="K23" s="4"/>
      <c r="L23" s="4"/>
    </row>
    <row r="24" spans="1:17" ht="14.25" x14ac:dyDescent="0.2">
      <c r="B24" s="44" t="s">
        <v>87</v>
      </c>
      <c r="F24" s="63" t="s">
        <v>88</v>
      </c>
      <c r="G24" s="37" t="s">
        <v>76</v>
      </c>
      <c r="H24" s="23"/>
      <c r="I24" s="38"/>
      <c r="J24" s="4"/>
      <c r="K24" s="4"/>
      <c r="L24" s="4"/>
    </row>
    <row r="25" spans="1:17" ht="14.25" x14ac:dyDescent="0.2">
      <c r="B25" s="44" t="s">
        <v>89</v>
      </c>
      <c r="F25" s="63" t="s">
        <v>90</v>
      </c>
      <c r="G25" s="39" t="s">
        <v>76</v>
      </c>
      <c r="H25" s="23"/>
      <c r="I25" s="38"/>
      <c r="J25" s="4"/>
      <c r="K25" s="4"/>
      <c r="L25" s="4"/>
    </row>
    <row r="26" spans="1:17" ht="15" thickBot="1" x14ac:dyDescent="0.25">
      <c r="B26" s="64" t="s">
        <v>91</v>
      </c>
      <c r="C26" s="65"/>
      <c r="D26" s="65"/>
      <c r="E26" s="65"/>
      <c r="F26" s="66" t="s">
        <v>92</v>
      </c>
      <c r="G26" s="40" t="s">
        <v>76</v>
      </c>
      <c r="H26" s="23"/>
      <c r="I26" s="38"/>
      <c r="J26" s="4"/>
      <c r="K26" s="4"/>
      <c r="L26" s="4"/>
    </row>
    <row r="27" spans="1:17" ht="36" customHeight="1" x14ac:dyDescent="0.2">
      <c r="B27" s="155" t="s">
        <v>93</v>
      </c>
      <c r="C27" s="156"/>
      <c r="D27" s="156"/>
      <c r="E27" s="156"/>
      <c r="F27" s="157"/>
      <c r="G27" s="41"/>
      <c r="I27" s="42"/>
      <c r="J27" s="4"/>
      <c r="K27" s="4"/>
      <c r="L27" s="4"/>
    </row>
    <row r="28" spans="1:17" ht="13.5" thickBot="1" x14ac:dyDescent="0.25">
      <c r="B28" s="67" t="s">
        <v>94</v>
      </c>
      <c r="C28" s="68"/>
      <c r="D28" s="68"/>
      <c r="E28" s="68"/>
      <c r="F28" s="69"/>
      <c r="G28" s="43"/>
      <c r="H28" s="4"/>
      <c r="I28" s="4"/>
      <c r="J28" s="4"/>
      <c r="K28" s="4"/>
      <c r="L28" s="4"/>
    </row>
    <row r="29" spans="1:17" x14ac:dyDescent="0.2">
      <c r="B29" s="4"/>
    </row>
    <row r="30" spans="1:17" x14ac:dyDescent="0.2">
      <c r="B30" s="5"/>
    </row>
    <row r="31" spans="1:17" x14ac:dyDescent="0.2">
      <c r="B31" s="33"/>
    </row>
    <row r="32" spans="1:17" x14ac:dyDescent="0.2">
      <c r="B32" s="33"/>
    </row>
  </sheetData>
  <mergeCells count="1">
    <mergeCell ref="B27:F27"/>
  </mergeCells>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49D31-CA64-40D9-ABD8-9577111FAB77}">
  <sheetPr>
    <tabColor theme="0" tint="-0.14999847407452621"/>
  </sheetPr>
  <dimension ref="A2:Q32"/>
  <sheetViews>
    <sheetView showGridLines="0" zoomScale="130" zoomScaleNormal="13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24" style="2" customWidth="1"/>
    <col min="7" max="7" width="19.57031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95</v>
      </c>
    </row>
    <row r="3" spans="2:13" x14ac:dyDescent="0.2">
      <c r="B3" s="2" t="s">
        <v>0</v>
      </c>
      <c r="E3" s="3" t="s">
        <v>96</v>
      </c>
      <c r="F3" s="3" t="s">
        <v>97</v>
      </c>
      <c r="H3" s="3"/>
    </row>
    <row r="4" spans="2:13" x14ac:dyDescent="0.2">
      <c r="M4" s="4"/>
    </row>
    <row r="5" spans="2:13" ht="15" x14ac:dyDescent="0.25">
      <c r="B5" s="5" t="s">
        <v>3</v>
      </c>
      <c r="E5" s="6">
        <f>E7-E6</f>
        <v>11911</v>
      </c>
      <c r="F5" s="58">
        <f>F7-F6</f>
        <v>12265</v>
      </c>
      <c r="H5" s="7"/>
      <c r="M5" s="4"/>
    </row>
    <row r="6" spans="2:13" x14ac:dyDescent="0.2">
      <c r="B6" s="2" t="s">
        <v>63</v>
      </c>
      <c r="E6" s="58">
        <f>280+165+145</f>
        <v>590</v>
      </c>
      <c r="F6" s="58">
        <v>88</v>
      </c>
      <c r="H6" s="7"/>
      <c r="M6" s="4"/>
    </row>
    <row r="7" spans="2:13" ht="15" x14ac:dyDescent="0.25">
      <c r="B7" s="5" t="s">
        <v>33</v>
      </c>
      <c r="E7" s="9">
        <v>12501</v>
      </c>
      <c r="F7" s="59">
        <v>12353</v>
      </c>
      <c r="H7" s="7"/>
    </row>
    <row r="8" spans="2:13" ht="15" x14ac:dyDescent="0.25">
      <c r="B8" s="2" t="s">
        <v>5</v>
      </c>
      <c r="E8" s="6">
        <v>-380</v>
      </c>
      <c r="F8" s="6">
        <v>-255</v>
      </c>
      <c r="H8" s="7"/>
    </row>
    <row r="9" spans="2:13" ht="15" x14ac:dyDescent="0.25">
      <c r="B9" s="5" t="s">
        <v>6</v>
      </c>
      <c r="E9" s="6">
        <f>+E7+E8</f>
        <v>12121</v>
      </c>
      <c r="F9" s="58">
        <f>F7+F8</f>
        <v>12098</v>
      </c>
      <c r="H9" s="7"/>
    </row>
    <row r="10" spans="2:13" ht="15" x14ac:dyDescent="0.25">
      <c r="B10" s="2" t="s">
        <v>7</v>
      </c>
      <c r="E10" s="6">
        <v>-6557</v>
      </c>
      <c r="F10" s="58">
        <v>-6422</v>
      </c>
      <c r="H10" s="7"/>
      <c r="M10" s="4"/>
    </row>
    <row r="11" spans="2:13" ht="15" x14ac:dyDescent="0.25">
      <c r="B11" s="2" t="s">
        <v>8</v>
      </c>
      <c r="E11" s="8">
        <v>-2500</v>
      </c>
      <c r="F11" s="60">
        <v>-5</v>
      </c>
      <c r="H11" s="7"/>
      <c r="M11" s="4"/>
    </row>
    <row r="12" spans="2:13" ht="15" x14ac:dyDescent="0.25">
      <c r="B12" s="5" t="s">
        <v>9</v>
      </c>
      <c r="E12" s="6">
        <f>+E11+E10+E9</f>
        <v>3064</v>
      </c>
      <c r="F12" s="58">
        <f>+F9+F10+F11</f>
        <v>5671</v>
      </c>
      <c r="H12" s="7"/>
    </row>
    <row r="13" spans="2:13" ht="15" x14ac:dyDescent="0.25">
      <c r="B13" s="2" t="s">
        <v>10</v>
      </c>
      <c r="E13" s="6">
        <f>E8</f>
        <v>-380</v>
      </c>
      <c r="F13" s="58">
        <f>F8</f>
        <v>-255</v>
      </c>
      <c r="H13" s="7"/>
    </row>
    <row r="14" spans="2:13" ht="15" x14ac:dyDescent="0.25">
      <c r="B14" s="5" t="s">
        <v>11</v>
      </c>
      <c r="E14" s="6">
        <f>E11</f>
        <v>-2500</v>
      </c>
      <c r="F14" s="58">
        <f>F11</f>
        <v>-5</v>
      </c>
      <c r="H14" s="7"/>
      <c r="M14" s="4"/>
    </row>
    <row r="15" spans="2:13" ht="15" x14ac:dyDescent="0.25">
      <c r="B15" s="5" t="s">
        <v>12</v>
      </c>
      <c r="E15" s="6">
        <f>E12-E13-E14</f>
        <v>5944</v>
      </c>
      <c r="F15" s="58">
        <f>F12-F13-F14</f>
        <v>5931</v>
      </c>
      <c r="H15" s="7"/>
    </row>
    <row r="16" spans="2:13" ht="15" x14ac:dyDescent="0.25">
      <c r="B16" s="2" t="s">
        <v>57</v>
      </c>
      <c r="E16" s="6">
        <f>+E6</f>
        <v>590</v>
      </c>
      <c r="F16" s="58">
        <f>+F6</f>
        <v>88</v>
      </c>
      <c r="H16" s="7"/>
    </row>
    <row r="17" spans="1:17" ht="15" x14ac:dyDescent="0.25">
      <c r="B17" s="5" t="s">
        <v>14</v>
      </c>
      <c r="E17" s="6">
        <f>E15-E16</f>
        <v>5354</v>
      </c>
      <c r="F17" s="58">
        <f>F15-F16</f>
        <v>5843</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3.5" thickBot="1" x14ac:dyDescent="0.25">
      <c r="B21" s="13"/>
      <c r="C21" s="13"/>
      <c r="D21" s="13"/>
      <c r="E21" s="13"/>
      <c r="F21" s="13"/>
      <c r="G21" s="13"/>
      <c r="H21" s="13"/>
      <c r="I21" s="13"/>
      <c r="J21" s="13"/>
      <c r="K21" s="13"/>
      <c r="L21" s="13"/>
    </row>
    <row r="22" spans="1:17" ht="15.75" x14ac:dyDescent="0.25">
      <c r="B22" s="14" t="s">
        <v>86</v>
      </c>
      <c r="C22" s="15"/>
      <c r="D22" s="15"/>
      <c r="E22" s="15"/>
      <c r="F22" s="61"/>
      <c r="G22" s="21"/>
      <c r="I22" s="4"/>
      <c r="J22" s="4"/>
      <c r="K22" s="4"/>
      <c r="L22" s="4"/>
    </row>
    <row r="23" spans="1:17" ht="14.25" x14ac:dyDescent="0.2">
      <c r="B23" s="17"/>
      <c r="F23" s="62">
        <v>2022</v>
      </c>
      <c r="G23" s="36"/>
      <c r="J23" s="4"/>
      <c r="K23" s="4"/>
      <c r="L23" s="4"/>
    </row>
    <row r="24" spans="1:17" ht="14.25" x14ac:dyDescent="0.2">
      <c r="B24" s="44" t="s">
        <v>87</v>
      </c>
      <c r="F24" s="63" t="s">
        <v>88</v>
      </c>
      <c r="G24" s="37" t="s">
        <v>76</v>
      </c>
      <c r="H24" s="23"/>
      <c r="I24" s="38"/>
      <c r="J24" s="4"/>
      <c r="K24" s="4"/>
      <c r="L24" s="4"/>
    </row>
    <row r="25" spans="1:17" ht="14.25" x14ac:dyDescent="0.2">
      <c r="B25" s="44" t="s">
        <v>89</v>
      </c>
      <c r="F25" s="63" t="s">
        <v>90</v>
      </c>
      <c r="G25" s="39" t="s">
        <v>76</v>
      </c>
      <c r="H25" s="23"/>
      <c r="I25" s="38"/>
      <c r="J25" s="4"/>
      <c r="K25" s="4"/>
      <c r="L25" s="4"/>
    </row>
    <row r="26" spans="1:17" ht="15" thickBot="1" x14ac:dyDescent="0.25">
      <c r="B26" s="64" t="s">
        <v>91</v>
      </c>
      <c r="C26" s="65"/>
      <c r="D26" s="65"/>
      <c r="E26" s="65"/>
      <c r="F26" s="66" t="s">
        <v>92</v>
      </c>
      <c r="G26" s="40" t="s">
        <v>76</v>
      </c>
      <c r="H26" s="23"/>
      <c r="I26" s="38"/>
      <c r="J26" s="4"/>
      <c r="K26" s="4"/>
      <c r="L26" s="4"/>
    </row>
    <row r="27" spans="1:17" ht="39" customHeight="1" x14ac:dyDescent="0.2">
      <c r="B27" s="155" t="s">
        <v>93</v>
      </c>
      <c r="C27" s="156"/>
      <c r="D27" s="156"/>
      <c r="E27" s="156"/>
      <c r="F27" s="157"/>
      <c r="G27" s="41"/>
      <c r="I27" s="42"/>
      <c r="J27" s="4"/>
      <c r="K27" s="4"/>
      <c r="L27" s="4"/>
    </row>
    <row r="28" spans="1:17" ht="13.5" thickBot="1" x14ac:dyDescent="0.25">
      <c r="B28" s="67" t="s">
        <v>98</v>
      </c>
      <c r="C28" s="68"/>
      <c r="D28" s="68"/>
      <c r="E28" s="68"/>
      <c r="F28" s="69"/>
      <c r="G28" s="43"/>
      <c r="H28" s="4"/>
      <c r="I28" s="4"/>
      <c r="J28" s="4"/>
      <c r="K28" s="4"/>
      <c r="L28" s="4"/>
    </row>
    <row r="29" spans="1:17" x14ac:dyDescent="0.2">
      <c r="B29" s="4"/>
    </row>
    <row r="30" spans="1:17" x14ac:dyDescent="0.2">
      <c r="B30" s="5"/>
    </row>
    <row r="31" spans="1:17" x14ac:dyDescent="0.2">
      <c r="B31" s="33"/>
    </row>
    <row r="32" spans="1:17" x14ac:dyDescent="0.2">
      <c r="B32" s="33"/>
    </row>
  </sheetData>
  <mergeCells count="1">
    <mergeCell ref="B27:F27"/>
  </mergeCells>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AF1AD-5470-4222-8FB1-4E15D364F03E}">
  <sheetPr>
    <tabColor theme="0" tint="-0.14999847407452621"/>
  </sheetPr>
  <dimension ref="A2:Q32"/>
  <sheetViews>
    <sheetView showGridLines="0" zoomScale="130" zoomScaleNormal="13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31.42578125" style="2" customWidth="1"/>
    <col min="7" max="7" width="19.57031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99</v>
      </c>
    </row>
    <row r="3" spans="2:13" x14ac:dyDescent="0.2">
      <c r="B3" s="2" t="s">
        <v>0</v>
      </c>
      <c r="E3" s="3" t="s">
        <v>79</v>
      </c>
      <c r="F3" s="3" t="s">
        <v>100</v>
      </c>
      <c r="H3" s="3"/>
    </row>
    <row r="4" spans="2:13" x14ac:dyDescent="0.2">
      <c r="M4" s="4"/>
    </row>
    <row r="5" spans="2:13" ht="15" x14ac:dyDescent="0.25">
      <c r="B5" s="5" t="s">
        <v>3</v>
      </c>
      <c r="E5" s="6">
        <f>E7-E6</f>
        <v>11637</v>
      </c>
      <c r="F5" s="6">
        <f>F7-F6</f>
        <v>12209</v>
      </c>
      <c r="H5" s="7"/>
      <c r="M5" s="4"/>
    </row>
    <row r="6" spans="2:13" ht="15" x14ac:dyDescent="0.25">
      <c r="B6" s="2" t="s">
        <v>63</v>
      </c>
      <c r="E6" s="6">
        <v>23</v>
      </c>
      <c r="F6" s="6"/>
      <c r="H6" s="7"/>
      <c r="M6" s="4"/>
    </row>
    <row r="7" spans="2:13" ht="15" x14ac:dyDescent="0.25">
      <c r="B7" s="5" t="s">
        <v>33</v>
      </c>
      <c r="E7" s="9">
        <v>11660</v>
      </c>
      <c r="F7" s="9">
        <v>12209</v>
      </c>
      <c r="H7" s="7"/>
    </row>
    <row r="8" spans="2:13" ht="15" x14ac:dyDescent="0.25">
      <c r="B8" s="2" t="s">
        <v>5</v>
      </c>
      <c r="E8" s="6">
        <v>1551</v>
      </c>
      <c r="F8" s="6">
        <v>-149</v>
      </c>
      <c r="H8" s="7"/>
    </row>
    <row r="9" spans="2:13" ht="15" x14ac:dyDescent="0.25">
      <c r="B9" s="5" t="s">
        <v>6</v>
      </c>
      <c r="E9" s="6">
        <f>+E8+E7</f>
        <v>13211</v>
      </c>
      <c r="F9" s="6">
        <v>12061</v>
      </c>
      <c r="H9" s="7"/>
    </row>
    <row r="10" spans="2:13" ht="15" x14ac:dyDescent="0.25">
      <c r="B10" s="2" t="s">
        <v>7</v>
      </c>
      <c r="E10" s="6">
        <v>-6360</v>
      </c>
      <c r="F10" s="6">
        <v>-6380</v>
      </c>
      <c r="H10" s="7"/>
      <c r="M10" s="4"/>
    </row>
    <row r="11" spans="2:13" ht="15" x14ac:dyDescent="0.25">
      <c r="B11" s="2" t="s">
        <v>8</v>
      </c>
      <c r="E11" s="8">
        <v>0</v>
      </c>
      <c r="F11" s="8">
        <v>0</v>
      </c>
      <c r="H11" s="7"/>
      <c r="M11" s="4"/>
    </row>
    <row r="12" spans="2:13" ht="15" x14ac:dyDescent="0.25">
      <c r="B12" s="5" t="s">
        <v>9</v>
      </c>
      <c r="E12" s="6">
        <v>6852</v>
      </c>
      <c r="F12" s="6">
        <v>5680</v>
      </c>
      <c r="H12" s="7"/>
    </row>
    <row r="13" spans="2:13" ht="15" x14ac:dyDescent="0.25">
      <c r="B13" s="2" t="s">
        <v>10</v>
      </c>
      <c r="E13" s="6">
        <f>E8</f>
        <v>1551</v>
      </c>
      <c r="F13" s="6">
        <f>F8</f>
        <v>-149</v>
      </c>
      <c r="H13" s="7"/>
    </row>
    <row r="14" spans="2:13" ht="15" x14ac:dyDescent="0.25">
      <c r="B14" s="5" t="s">
        <v>11</v>
      </c>
      <c r="E14" s="6">
        <f>E11</f>
        <v>0</v>
      </c>
      <c r="F14" s="6">
        <f>F11</f>
        <v>0</v>
      </c>
      <c r="H14" s="7"/>
      <c r="M14" s="4"/>
    </row>
    <row r="15" spans="2:13" ht="15" x14ac:dyDescent="0.25">
      <c r="B15" s="5" t="s">
        <v>12</v>
      </c>
      <c r="E15" s="6">
        <f>E12-E13-E14</f>
        <v>5301</v>
      </c>
      <c r="F15" s="6">
        <f>F12-F13-F14</f>
        <v>5829</v>
      </c>
      <c r="H15" s="7"/>
    </row>
    <row r="16" spans="2:13" ht="15" x14ac:dyDescent="0.25">
      <c r="B16" s="2" t="s">
        <v>57</v>
      </c>
      <c r="E16" s="6">
        <f>+E6</f>
        <v>23</v>
      </c>
      <c r="F16" s="6">
        <f>F6</f>
        <v>0</v>
      </c>
      <c r="H16" s="7"/>
    </row>
    <row r="17" spans="1:17" ht="15" x14ac:dyDescent="0.25">
      <c r="B17" s="5" t="s">
        <v>14</v>
      </c>
      <c r="E17" s="6">
        <f>E15-E16</f>
        <v>5278</v>
      </c>
      <c r="F17" s="6">
        <f>F15-F16</f>
        <v>5829</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3.5" thickBot="1" x14ac:dyDescent="0.25">
      <c r="B21" s="13"/>
      <c r="C21" s="13"/>
      <c r="D21" s="13"/>
      <c r="E21" s="13"/>
      <c r="F21" s="13"/>
      <c r="G21" s="13"/>
      <c r="H21" s="13"/>
      <c r="I21" s="13"/>
      <c r="J21" s="13"/>
      <c r="K21" s="13"/>
      <c r="L21" s="13"/>
    </row>
    <row r="22" spans="1:17" ht="15.75" x14ac:dyDescent="0.25">
      <c r="B22" s="14" t="s">
        <v>86</v>
      </c>
      <c r="C22" s="15"/>
      <c r="D22" s="15"/>
      <c r="E22" s="15"/>
      <c r="F22" s="61"/>
      <c r="G22" s="21"/>
      <c r="I22" s="4"/>
      <c r="J22" s="4"/>
      <c r="K22" s="4"/>
      <c r="L22" s="4"/>
    </row>
    <row r="23" spans="1:17" ht="14.25" x14ac:dyDescent="0.2">
      <c r="B23" s="17"/>
      <c r="F23" s="62">
        <v>2022</v>
      </c>
      <c r="G23" s="36"/>
      <c r="J23" s="4"/>
      <c r="K23" s="4"/>
      <c r="L23" s="4"/>
    </row>
    <row r="24" spans="1:17" ht="14.25" x14ac:dyDescent="0.2">
      <c r="B24" s="44" t="s">
        <v>87</v>
      </c>
      <c r="F24" s="63" t="s">
        <v>88</v>
      </c>
      <c r="G24" s="37" t="s">
        <v>76</v>
      </c>
      <c r="H24" s="23"/>
      <c r="I24" s="38"/>
      <c r="J24" s="4"/>
      <c r="K24" s="4"/>
      <c r="L24" s="4"/>
    </row>
    <row r="25" spans="1:17" ht="14.25" x14ac:dyDescent="0.2">
      <c r="B25" s="44" t="s">
        <v>89</v>
      </c>
      <c r="F25" s="63" t="s">
        <v>101</v>
      </c>
      <c r="G25" s="39" t="s">
        <v>76</v>
      </c>
      <c r="H25" s="23"/>
      <c r="I25" s="38"/>
      <c r="J25" s="4"/>
      <c r="K25" s="4"/>
      <c r="L25" s="4"/>
    </row>
    <row r="26" spans="1:17" ht="15" thickBot="1" x14ac:dyDescent="0.25">
      <c r="B26" s="64" t="s">
        <v>91</v>
      </c>
      <c r="C26" s="65"/>
      <c r="D26" s="65"/>
      <c r="E26" s="65"/>
      <c r="F26" s="66" t="s">
        <v>92</v>
      </c>
      <c r="G26" s="40" t="s">
        <v>76</v>
      </c>
      <c r="H26" s="23"/>
      <c r="I26" s="38"/>
      <c r="J26" s="4"/>
      <c r="K26" s="4"/>
      <c r="L26" s="4"/>
    </row>
    <row r="27" spans="1:17" ht="38.25" customHeight="1" x14ac:dyDescent="0.2">
      <c r="B27" s="155" t="s">
        <v>93</v>
      </c>
      <c r="C27" s="156"/>
      <c r="D27" s="156"/>
      <c r="E27" s="156"/>
      <c r="F27" s="157"/>
      <c r="G27" s="41"/>
      <c r="I27" s="42"/>
      <c r="J27" s="4"/>
      <c r="K27" s="4"/>
      <c r="L27" s="4"/>
    </row>
    <row r="28" spans="1:17" ht="13.5" thickBot="1" x14ac:dyDescent="0.25">
      <c r="B28" s="67" t="s">
        <v>98</v>
      </c>
      <c r="C28" s="68"/>
      <c r="D28" s="68"/>
      <c r="E28" s="68"/>
      <c r="F28" s="69"/>
      <c r="G28" s="43"/>
      <c r="H28" s="4"/>
      <c r="I28" s="4"/>
      <c r="J28" s="4"/>
      <c r="K28" s="4"/>
      <c r="L28" s="4"/>
    </row>
    <row r="29" spans="1:17" x14ac:dyDescent="0.2">
      <c r="B29" s="4"/>
    </row>
    <row r="30" spans="1:17" x14ac:dyDescent="0.2">
      <c r="B30" s="5"/>
    </row>
    <row r="31" spans="1:17" x14ac:dyDescent="0.2">
      <c r="B31" s="33"/>
    </row>
    <row r="32" spans="1:17" x14ac:dyDescent="0.2">
      <c r="B32" s="33"/>
    </row>
  </sheetData>
  <mergeCells count="1">
    <mergeCell ref="B27:F27"/>
  </mergeCells>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3F4CB-E791-4563-8E10-4BCBA652BD2E}">
  <sheetPr>
    <tabColor theme="0" tint="-0.14999847407452621"/>
  </sheetPr>
  <dimension ref="A2:Q32"/>
  <sheetViews>
    <sheetView showGridLines="0" zoomScale="130" zoomScaleNormal="13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31.42578125" style="2" customWidth="1"/>
    <col min="7" max="7" width="19.57031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102</v>
      </c>
    </row>
    <row r="3" spans="2:13" x14ac:dyDescent="0.2">
      <c r="B3" s="2" t="s">
        <v>0</v>
      </c>
      <c r="E3" s="3" t="s">
        <v>82</v>
      </c>
      <c r="F3" s="3" t="s">
        <v>103</v>
      </c>
      <c r="H3" s="3"/>
    </row>
    <row r="4" spans="2:13" x14ac:dyDescent="0.2">
      <c r="M4" s="4"/>
    </row>
    <row r="5" spans="2:13" ht="15" x14ac:dyDescent="0.25">
      <c r="B5" s="5" t="s">
        <v>3</v>
      </c>
      <c r="E5" s="6">
        <f>E7-E6</f>
        <v>11698</v>
      </c>
      <c r="F5" s="6">
        <f>F7-F6</f>
        <v>12510</v>
      </c>
      <c r="H5" s="7"/>
      <c r="M5" s="4"/>
    </row>
    <row r="6" spans="2:13" ht="15" x14ac:dyDescent="0.25">
      <c r="B6" s="2" t="s">
        <v>63</v>
      </c>
      <c r="E6" s="6">
        <v>45</v>
      </c>
      <c r="F6" s="6">
        <f>76-37</f>
        <v>39</v>
      </c>
      <c r="H6" s="7"/>
      <c r="M6" s="4"/>
    </row>
    <row r="7" spans="2:13" ht="15" x14ac:dyDescent="0.25">
      <c r="B7" s="5" t="s">
        <v>33</v>
      </c>
      <c r="E7" s="9">
        <v>11743</v>
      </c>
      <c r="F7" s="9">
        <v>12549</v>
      </c>
      <c r="H7" s="7"/>
    </row>
    <row r="8" spans="2:13" ht="15" x14ac:dyDescent="0.25">
      <c r="B8" s="2" t="s">
        <v>5</v>
      </c>
      <c r="E8" s="6">
        <v>-1231</v>
      </c>
      <c r="F8" s="6">
        <v>2818</v>
      </c>
      <c r="H8" s="7"/>
    </row>
    <row r="9" spans="2:13" ht="15" x14ac:dyDescent="0.25">
      <c r="B9" s="5" t="s">
        <v>6</v>
      </c>
      <c r="E9" s="6">
        <v>10512</v>
      </c>
      <c r="F9" s="6">
        <v>15366</v>
      </c>
      <c r="H9" s="7"/>
    </row>
    <row r="10" spans="2:13" ht="15" x14ac:dyDescent="0.25">
      <c r="B10" s="2" t="s">
        <v>7</v>
      </c>
      <c r="E10" s="6">
        <v>-6499</v>
      </c>
      <c r="F10" s="6">
        <v>-6502</v>
      </c>
      <c r="H10" s="7"/>
      <c r="M10" s="4"/>
    </row>
    <row r="11" spans="2:13" ht="15" x14ac:dyDescent="0.25">
      <c r="B11" s="2" t="s">
        <v>8</v>
      </c>
      <c r="E11" s="8">
        <v>1</v>
      </c>
      <c r="F11" s="8">
        <v>-3</v>
      </c>
      <c r="H11" s="7"/>
      <c r="M11" s="4"/>
    </row>
    <row r="12" spans="2:13" ht="15" x14ac:dyDescent="0.25">
      <c r="B12" s="5" t="s">
        <v>9</v>
      </c>
      <c r="E12" s="6">
        <v>4064</v>
      </c>
      <c r="F12" s="6">
        <v>8861</v>
      </c>
      <c r="H12" s="7"/>
    </row>
    <row r="13" spans="2:13" ht="15" x14ac:dyDescent="0.25">
      <c r="B13" s="2" t="s">
        <v>10</v>
      </c>
      <c r="E13" s="6">
        <f>E8</f>
        <v>-1231</v>
      </c>
      <c r="F13" s="6">
        <f>F8</f>
        <v>2818</v>
      </c>
      <c r="H13" s="7"/>
    </row>
    <row r="14" spans="2:13" ht="15" x14ac:dyDescent="0.25">
      <c r="B14" s="5" t="s">
        <v>11</v>
      </c>
      <c r="E14" s="6">
        <f>E11</f>
        <v>1</v>
      </c>
      <c r="F14" s="6">
        <f>F11</f>
        <v>-3</v>
      </c>
      <c r="H14" s="7"/>
      <c r="M14" s="4"/>
    </row>
    <row r="15" spans="2:13" ht="15" x14ac:dyDescent="0.25">
      <c r="B15" s="5" t="s">
        <v>12</v>
      </c>
      <c r="E15" s="6">
        <f>E12-E13-E14</f>
        <v>5294</v>
      </c>
      <c r="F15" s="6">
        <f>F12-F13-F14</f>
        <v>6046</v>
      </c>
      <c r="H15" s="7"/>
    </row>
    <row r="16" spans="2:13" ht="15" x14ac:dyDescent="0.25">
      <c r="B16" s="2" t="s">
        <v>57</v>
      </c>
      <c r="E16" s="6">
        <f>+E6</f>
        <v>45</v>
      </c>
      <c r="F16" s="6">
        <f>F6</f>
        <v>39</v>
      </c>
      <c r="H16" s="7"/>
    </row>
    <row r="17" spans="1:17" ht="15" x14ac:dyDescent="0.25">
      <c r="B17" s="5" t="s">
        <v>14</v>
      </c>
      <c r="E17" s="6">
        <f>E15-E16</f>
        <v>5249</v>
      </c>
      <c r="F17" s="6">
        <f>F15-F16</f>
        <v>6007</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3.5" thickBot="1" x14ac:dyDescent="0.25">
      <c r="B21" s="13"/>
      <c r="C21" s="13"/>
      <c r="D21" s="13"/>
      <c r="E21" s="13"/>
      <c r="F21" s="13"/>
      <c r="G21" s="13"/>
      <c r="H21" s="13"/>
      <c r="I21" s="13"/>
      <c r="J21" s="13"/>
      <c r="K21" s="13"/>
      <c r="L21" s="13"/>
    </row>
    <row r="22" spans="1:17" ht="15.75" x14ac:dyDescent="0.25">
      <c r="B22" s="14" t="s">
        <v>86</v>
      </c>
      <c r="C22" s="15"/>
      <c r="D22" s="15"/>
      <c r="E22" s="15"/>
      <c r="F22" s="61"/>
      <c r="G22" s="21"/>
      <c r="I22" s="4"/>
      <c r="J22" s="4"/>
      <c r="K22" s="4"/>
      <c r="L22" s="4"/>
    </row>
    <row r="23" spans="1:17" ht="14.25" x14ac:dyDescent="0.2">
      <c r="B23" s="17"/>
      <c r="F23" s="62">
        <v>2022</v>
      </c>
      <c r="G23" s="36"/>
      <c r="J23" s="4"/>
      <c r="K23" s="4"/>
      <c r="L23" s="4"/>
    </row>
    <row r="24" spans="1:17" ht="14.25" x14ac:dyDescent="0.2">
      <c r="B24" s="44" t="s">
        <v>87</v>
      </c>
      <c r="F24" s="63" t="s">
        <v>88</v>
      </c>
      <c r="G24" s="37" t="s">
        <v>76</v>
      </c>
      <c r="H24" s="23"/>
      <c r="I24" s="38"/>
      <c r="J24" s="4"/>
      <c r="K24" s="4"/>
      <c r="L24" s="4"/>
    </row>
    <row r="25" spans="1:17" ht="14.25" x14ac:dyDescent="0.2">
      <c r="B25" s="44" t="s">
        <v>89</v>
      </c>
      <c r="F25" s="63" t="s">
        <v>101</v>
      </c>
      <c r="G25" s="39" t="s">
        <v>76</v>
      </c>
      <c r="H25" s="23"/>
      <c r="I25" s="38"/>
      <c r="J25" s="4"/>
      <c r="K25" s="4"/>
      <c r="L25" s="4"/>
    </row>
    <row r="26" spans="1:17" ht="15" thickBot="1" x14ac:dyDescent="0.25">
      <c r="B26" s="64" t="s">
        <v>91</v>
      </c>
      <c r="C26" s="65"/>
      <c r="D26" s="65"/>
      <c r="E26" s="65"/>
      <c r="F26" s="66" t="s">
        <v>92</v>
      </c>
      <c r="G26" s="40" t="s">
        <v>76</v>
      </c>
      <c r="H26" s="23"/>
      <c r="I26" s="38"/>
      <c r="J26" s="4"/>
      <c r="K26" s="4"/>
      <c r="L26" s="4"/>
    </row>
    <row r="27" spans="1:17" ht="38.25" customHeight="1" x14ac:dyDescent="0.2">
      <c r="B27" s="155" t="s">
        <v>93</v>
      </c>
      <c r="C27" s="156"/>
      <c r="D27" s="156"/>
      <c r="E27" s="156"/>
      <c r="F27" s="157"/>
      <c r="G27" s="41"/>
      <c r="I27" s="42"/>
      <c r="J27" s="4"/>
      <c r="K27" s="4"/>
      <c r="L27" s="4"/>
    </row>
    <row r="28" spans="1:17" ht="13.5" thickBot="1" x14ac:dyDescent="0.25">
      <c r="B28" s="67" t="s">
        <v>98</v>
      </c>
      <c r="C28" s="68"/>
      <c r="D28" s="68"/>
      <c r="E28" s="68"/>
      <c r="F28" s="69"/>
      <c r="G28" s="43"/>
      <c r="H28" s="4"/>
      <c r="I28" s="4"/>
      <c r="J28" s="4"/>
      <c r="K28" s="4"/>
      <c r="L28" s="4"/>
    </row>
    <row r="29" spans="1:17" x14ac:dyDescent="0.2">
      <c r="B29" s="4"/>
    </row>
    <row r="30" spans="1:17" x14ac:dyDescent="0.2">
      <c r="B30" s="5"/>
    </row>
    <row r="31" spans="1:17" x14ac:dyDescent="0.2">
      <c r="B31" s="33"/>
    </row>
    <row r="32" spans="1:17" x14ac:dyDescent="0.2">
      <c r="B32" s="33"/>
    </row>
  </sheetData>
  <mergeCells count="1">
    <mergeCell ref="B27:F27"/>
  </mergeCells>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DD6E3-F652-4129-8129-7B23BF31D629}">
  <sheetPr>
    <tabColor theme="0" tint="-0.14999847407452621"/>
  </sheetPr>
  <dimension ref="A2:Q32"/>
  <sheetViews>
    <sheetView showGridLines="0" zoomScale="130" zoomScaleNormal="13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24" style="2" customWidth="1"/>
    <col min="7" max="7" width="19.57031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104</v>
      </c>
    </row>
    <row r="3" spans="2:13" x14ac:dyDescent="0.2">
      <c r="B3" s="2" t="s">
        <v>0</v>
      </c>
      <c r="E3" s="3" t="s">
        <v>85</v>
      </c>
      <c r="F3" s="3" t="s">
        <v>105</v>
      </c>
      <c r="H3" s="3"/>
    </row>
    <row r="4" spans="2:13" x14ac:dyDescent="0.2">
      <c r="M4" s="4"/>
    </row>
    <row r="5" spans="2:13" ht="15" x14ac:dyDescent="0.25">
      <c r="B5" s="5" t="s">
        <v>3</v>
      </c>
      <c r="E5" s="6">
        <f>E7-E6</f>
        <v>12841</v>
      </c>
      <c r="F5" s="58">
        <f>F7-F6</f>
        <v>13400</v>
      </c>
      <c r="H5" s="7"/>
      <c r="M5" s="4"/>
    </row>
    <row r="6" spans="2:13" x14ac:dyDescent="0.2">
      <c r="B6" s="2" t="s">
        <v>63</v>
      </c>
      <c r="E6" s="58">
        <f>-84+54+45</f>
        <v>15</v>
      </c>
      <c r="F6" s="58">
        <f>143+80</f>
        <v>223</v>
      </c>
      <c r="H6" s="7"/>
      <c r="M6" s="4"/>
    </row>
    <row r="7" spans="2:13" ht="15" x14ac:dyDescent="0.25">
      <c r="B7" s="5" t="s">
        <v>33</v>
      </c>
      <c r="E7" s="9">
        <v>12856</v>
      </c>
      <c r="F7" s="59">
        <v>13623</v>
      </c>
      <c r="H7" s="7"/>
    </row>
    <row r="8" spans="2:13" ht="15" x14ac:dyDescent="0.25">
      <c r="B8" s="2" t="s">
        <v>5</v>
      </c>
      <c r="E8" s="6">
        <v>-153</v>
      </c>
      <c r="F8" s="58">
        <v>757</v>
      </c>
      <c r="H8" s="7"/>
    </row>
    <row r="9" spans="2:13" ht="15" x14ac:dyDescent="0.25">
      <c r="B9" s="5" t="s">
        <v>6</v>
      </c>
      <c r="E9" s="6">
        <f>+E7+E8</f>
        <v>12703</v>
      </c>
      <c r="F9" s="58">
        <f>F7+F8</f>
        <v>14380</v>
      </c>
      <c r="H9" s="7"/>
    </row>
    <row r="10" spans="2:13" ht="15" x14ac:dyDescent="0.25">
      <c r="B10" s="2" t="s">
        <v>7</v>
      </c>
      <c r="E10" s="6">
        <v>-6616.7</v>
      </c>
      <c r="F10" s="58">
        <v>-6447</v>
      </c>
      <c r="H10" s="7"/>
      <c r="M10" s="4"/>
    </row>
    <row r="11" spans="2:13" ht="15" x14ac:dyDescent="0.25">
      <c r="B11" s="2" t="s">
        <v>8</v>
      </c>
      <c r="E11" s="8">
        <v>4.3</v>
      </c>
      <c r="F11" s="60">
        <v>0</v>
      </c>
      <c r="H11" s="7"/>
      <c r="M11" s="4"/>
    </row>
    <row r="12" spans="2:13" ht="15" x14ac:dyDescent="0.25">
      <c r="B12" s="5" t="s">
        <v>9</v>
      </c>
      <c r="E12" s="6">
        <f>+E11+E10+E9</f>
        <v>6090.6</v>
      </c>
      <c r="F12" s="58">
        <f>+F9+F10+F11</f>
        <v>7933</v>
      </c>
      <c r="H12" s="7"/>
    </row>
    <row r="13" spans="2:13" ht="15" x14ac:dyDescent="0.25">
      <c r="B13" s="2" t="s">
        <v>10</v>
      </c>
      <c r="E13" s="6">
        <f>E8</f>
        <v>-153</v>
      </c>
      <c r="F13" s="58">
        <f>F8</f>
        <v>757</v>
      </c>
      <c r="H13" s="7"/>
    </row>
    <row r="14" spans="2:13" ht="15" x14ac:dyDescent="0.25">
      <c r="B14" s="5" t="s">
        <v>11</v>
      </c>
      <c r="E14" s="6">
        <f>E11</f>
        <v>4.3</v>
      </c>
      <c r="F14" s="58">
        <f>F11</f>
        <v>0</v>
      </c>
      <c r="H14" s="7"/>
      <c r="M14" s="4"/>
    </row>
    <row r="15" spans="2:13" ht="15" x14ac:dyDescent="0.25">
      <c r="B15" s="5" t="s">
        <v>12</v>
      </c>
      <c r="E15" s="6">
        <f>E12-E13-E14</f>
        <v>6239.3</v>
      </c>
      <c r="F15" s="58">
        <f>F12-F13-F14</f>
        <v>7176</v>
      </c>
      <c r="H15" s="7"/>
    </row>
    <row r="16" spans="2:13" ht="15" x14ac:dyDescent="0.25">
      <c r="B16" s="2" t="s">
        <v>57</v>
      </c>
      <c r="E16" s="6">
        <f>+E6</f>
        <v>15</v>
      </c>
      <c r="F16" s="58">
        <f>+F6</f>
        <v>223</v>
      </c>
      <c r="H16" s="7"/>
    </row>
    <row r="17" spans="1:17" ht="15" x14ac:dyDescent="0.25">
      <c r="B17" s="5" t="s">
        <v>14</v>
      </c>
      <c r="E17" s="6">
        <f>E15-E16</f>
        <v>6224.3</v>
      </c>
      <c r="F17" s="58">
        <f>F15-F16</f>
        <v>6953</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3.5" thickBot="1" x14ac:dyDescent="0.25">
      <c r="B21" s="13"/>
      <c r="C21" s="13"/>
      <c r="D21" s="13"/>
      <c r="E21" s="13"/>
      <c r="F21" s="13"/>
      <c r="G21" s="13"/>
      <c r="H21" s="13"/>
      <c r="I21" s="13"/>
      <c r="J21" s="13"/>
      <c r="K21" s="13"/>
      <c r="L21" s="13"/>
    </row>
    <row r="22" spans="1:17" ht="15.75" x14ac:dyDescent="0.25">
      <c r="B22" s="14" t="s">
        <v>106</v>
      </c>
      <c r="C22" s="15"/>
      <c r="D22" s="15"/>
      <c r="E22" s="15"/>
      <c r="F22" s="15"/>
      <c r="G22" s="21"/>
      <c r="I22" s="4"/>
      <c r="J22" s="4"/>
      <c r="K22" s="4"/>
      <c r="L22" s="4"/>
    </row>
    <row r="23" spans="1:17" ht="14.25" x14ac:dyDescent="0.2">
      <c r="B23" s="17"/>
      <c r="F23" s="18">
        <v>2021</v>
      </c>
      <c r="G23" s="36"/>
      <c r="J23" s="4"/>
      <c r="K23" s="4"/>
      <c r="L23" s="4"/>
    </row>
    <row r="24" spans="1:17" ht="14.25" x14ac:dyDescent="0.2">
      <c r="B24" s="21" t="s">
        <v>107</v>
      </c>
      <c r="F24" s="22" t="s">
        <v>108</v>
      </c>
      <c r="G24" s="37" t="s">
        <v>76</v>
      </c>
      <c r="H24" s="23"/>
      <c r="I24" s="38"/>
      <c r="J24" s="4"/>
      <c r="K24" s="4"/>
      <c r="L24" s="4"/>
    </row>
    <row r="25" spans="1:17" ht="14.25" x14ac:dyDescent="0.2">
      <c r="B25" s="21" t="s">
        <v>109</v>
      </c>
      <c r="F25" s="22" t="s">
        <v>110</v>
      </c>
      <c r="G25" s="39" t="s">
        <v>76</v>
      </c>
      <c r="H25" s="23"/>
      <c r="I25" s="38"/>
      <c r="J25" s="4"/>
      <c r="K25" s="4"/>
      <c r="L25" s="4"/>
    </row>
    <row r="26" spans="1:17" ht="14.25" x14ac:dyDescent="0.2">
      <c r="B26" s="21" t="s">
        <v>111</v>
      </c>
      <c r="F26" s="5" t="s">
        <v>112</v>
      </c>
      <c r="G26" s="40" t="s">
        <v>76</v>
      </c>
      <c r="H26" s="23"/>
      <c r="I26" s="38"/>
      <c r="J26" s="4"/>
      <c r="K26" s="4"/>
      <c r="L26" s="4"/>
    </row>
    <row r="27" spans="1:17" ht="18.75" customHeight="1" x14ac:dyDescent="0.2">
      <c r="B27" s="25" t="s">
        <v>83</v>
      </c>
      <c r="G27" s="41"/>
      <c r="I27" s="42"/>
      <c r="J27" s="4"/>
      <c r="K27" s="4"/>
      <c r="L27" s="4"/>
    </row>
    <row r="28" spans="1:17" ht="13.5" thickBot="1" x14ac:dyDescent="0.25">
      <c r="B28" s="35" t="s">
        <v>76</v>
      </c>
      <c r="C28" s="29"/>
      <c r="D28" s="29"/>
      <c r="E28" s="29"/>
      <c r="F28" s="29"/>
      <c r="G28" s="43"/>
      <c r="H28" s="4"/>
      <c r="I28" s="4"/>
      <c r="J28" s="4"/>
      <c r="K28" s="4"/>
      <c r="L28" s="4"/>
    </row>
    <row r="29" spans="1:17" x14ac:dyDescent="0.2">
      <c r="B29" s="4"/>
    </row>
    <row r="30" spans="1:17" x14ac:dyDescent="0.2">
      <c r="B30" s="5"/>
    </row>
    <row r="31" spans="1:17" x14ac:dyDescent="0.2">
      <c r="B31" s="33"/>
    </row>
    <row r="32" spans="1:17" x14ac:dyDescent="0.2">
      <c r="B32" s="33"/>
    </row>
  </sheetData>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6A655-0FA5-47F5-B46C-3E2F1623F036}">
  <sheetPr>
    <tabColor theme="0" tint="-0.14999847407452621"/>
  </sheetPr>
  <dimension ref="A2:Q32"/>
  <sheetViews>
    <sheetView showGridLines="0" zoomScale="130" zoomScaleNormal="13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24" style="2" customWidth="1"/>
    <col min="7" max="7" width="19.57031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113</v>
      </c>
    </row>
    <row r="3" spans="2:13" x14ac:dyDescent="0.2">
      <c r="B3" s="2" t="s">
        <v>0</v>
      </c>
      <c r="E3" s="3" t="s">
        <v>97</v>
      </c>
      <c r="F3" s="3" t="s">
        <v>114</v>
      </c>
      <c r="H3" s="3"/>
    </row>
    <row r="4" spans="2:13" x14ac:dyDescent="0.2">
      <c r="M4" s="4"/>
    </row>
    <row r="5" spans="2:13" ht="15" x14ac:dyDescent="0.25">
      <c r="B5" s="5" t="s">
        <v>3</v>
      </c>
      <c r="E5" s="6">
        <f>E7-E6</f>
        <v>12241.6</v>
      </c>
      <c r="F5" s="58">
        <f>F7-F6</f>
        <v>13039</v>
      </c>
      <c r="H5" s="7"/>
      <c r="M5" s="4"/>
    </row>
    <row r="6" spans="2:13" x14ac:dyDescent="0.2">
      <c r="B6" s="2" t="s">
        <v>63</v>
      </c>
      <c r="E6" s="58">
        <f>23+88</f>
        <v>111</v>
      </c>
      <c r="F6" s="58">
        <v>136</v>
      </c>
      <c r="H6" s="7"/>
      <c r="M6" s="4"/>
    </row>
    <row r="7" spans="2:13" ht="15" x14ac:dyDescent="0.25">
      <c r="B7" s="5" t="s">
        <v>33</v>
      </c>
      <c r="E7" s="9">
        <v>12352.6</v>
      </c>
      <c r="F7" s="59">
        <v>13175</v>
      </c>
      <c r="H7" s="7"/>
    </row>
    <row r="8" spans="2:13" ht="15" x14ac:dyDescent="0.25">
      <c r="B8" s="2" t="s">
        <v>5</v>
      </c>
      <c r="E8" s="6">
        <v>-254.4</v>
      </c>
      <c r="F8" s="58">
        <v>-1340</v>
      </c>
      <c r="H8" s="7"/>
    </row>
    <row r="9" spans="2:13" ht="15" x14ac:dyDescent="0.25">
      <c r="B9" s="5" t="s">
        <v>6</v>
      </c>
      <c r="E9" s="6">
        <f>+E7+E8</f>
        <v>12098.2</v>
      </c>
      <c r="F9" s="58">
        <f>F7+F8</f>
        <v>11835</v>
      </c>
      <c r="H9" s="7"/>
    </row>
    <row r="10" spans="2:13" ht="15" x14ac:dyDescent="0.25">
      <c r="B10" s="2" t="s">
        <v>7</v>
      </c>
      <c r="E10" s="6">
        <v>-6422</v>
      </c>
      <c r="F10" s="58">
        <v>-6851</v>
      </c>
      <c r="H10" s="7"/>
      <c r="M10" s="4"/>
    </row>
    <row r="11" spans="2:13" ht="15" x14ac:dyDescent="0.25">
      <c r="B11" s="2" t="s">
        <v>8</v>
      </c>
      <c r="E11" s="8">
        <v>-5</v>
      </c>
      <c r="F11" s="60">
        <v>0</v>
      </c>
      <c r="H11" s="7"/>
      <c r="M11" s="4"/>
    </row>
    <row r="12" spans="2:13" ht="15" x14ac:dyDescent="0.25">
      <c r="B12" s="5" t="s">
        <v>9</v>
      </c>
      <c r="E12" s="6">
        <f>+E11+E10+E9</f>
        <v>5671.2000000000007</v>
      </c>
      <c r="F12" s="58">
        <f>+F9+F10+F11</f>
        <v>4984</v>
      </c>
      <c r="H12" s="7"/>
    </row>
    <row r="13" spans="2:13" ht="15" x14ac:dyDescent="0.25">
      <c r="B13" s="2" t="s">
        <v>10</v>
      </c>
      <c r="E13" s="6">
        <f>E8</f>
        <v>-254.4</v>
      </c>
      <c r="F13" s="58">
        <f>F8</f>
        <v>-1340</v>
      </c>
      <c r="H13" s="7"/>
    </row>
    <row r="14" spans="2:13" ht="15" x14ac:dyDescent="0.25">
      <c r="B14" s="5" t="s">
        <v>11</v>
      </c>
      <c r="E14" s="6">
        <f>E11</f>
        <v>-5</v>
      </c>
      <c r="F14" s="58">
        <f>F11</f>
        <v>0</v>
      </c>
      <c r="H14" s="7"/>
      <c r="M14" s="4"/>
    </row>
    <row r="15" spans="2:13" ht="15" x14ac:dyDescent="0.25">
      <c r="B15" s="5" t="s">
        <v>12</v>
      </c>
      <c r="E15" s="6">
        <f>E12-E13-E14</f>
        <v>5930.6</v>
      </c>
      <c r="F15" s="58">
        <f>F12-F13-F14</f>
        <v>6324</v>
      </c>
      <c r="H15" s="7"/>
    </row>
    <row r="16" spans="2:13" ht="15" x14ac:dyDescent="0.25">
      <c r="B16" s="2" t="s">
        <v>57</v>
      </c>
      <c r="E16" s="6">
        <f>+E6</f>
        <v>111</v>
      </c>
      <c r="F16" s="58">
        <f>+F6</f>
        <v>136</v>
      </c>
      <c r="H16" s="7"/>
    </row>
    <row r="17" spans="1:17" ht="15" x14ac:dyDescent="0.25">
      <c r="B17" s="5" t="s">
        <v>14</v>
      </c>
      <c r="E17" s="6">
        <f>E15-E16</f>
        <v>5819.6</v>
      </c>
      <c r="F17" s="58">
        <f>F15-F16</f>
        <v>6188</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3.5" thickBot="1" x14ac:dyDescent="0.25">
      <c r="B21" s="13"/>
      <c r="C21" s="13"/>
      <c r="D21" s="13"/>
      <c r="E21" s="13"/>
      <c r="F21" s="13"/>
      <c r="G21" s="13"/>
      <c r="H21" s="13"/>
      <c r="I21" s="13"/>
      <c r="J21" s="13"/>
      <c r="K21" s="13"/>
      <c r="L21" s="13"/>
    </row>
    <row r="22" spans="1:17" ht="15.75" x14ac:dyDescent="0.25">
      <c r="B22" s="14" t="s">
        <v>106</v>
      </c>
      <c r="C22" s="15"/>
      <c r="D22" s="15"/>
      <c r="E22" s="15"/>
      <c r="F22" s="15"/>
      <c r="G22" s="21"/>
      <c r="I22" s="4"/>
      <c r="J22" s="4"/>
      <c r="K22" s="4"/>
      <c r="L22" s="4"/>
    </row>
    <row r="23" spans="1:17" ht="14.25" x14ac:dyDescent="0.2">
      <c r="B23" s="17"/>
      <c r="F23" s="18">
        <v>2021</v>
      </c>
      <c r="G23" s="36"/>
      <c r="J23" s="4"/>
      <c r="K23" s="4"/>
      <c r="L23" s="4"/>
    </row>
    <row r="24" spans="1:17" ht="14.25" x14ac:dyDescent="0.2">
      <c r="B24" s="21" t="s">
        <v>107</v>
      </c>
      <c r="F24" s="22" t="s">
        <v>108</v>
      </c>
      <c r="G24" s="37" t="s">
        <v>76</v>
      </c>
      <c r="H24" s="23"/>
      <c r="I24" s="38"/>
      <c r="J24" s="4"/>
      <c r="K24" s="4"/>
      <c r="L24" s="4"/>
    </row>
    <row r="25" spans="1:17" ht="14.25" x14ac:dyDescent="0.2">
      <c r="B25" s="21" t="s">
        <v>109</v>
      </c>
      <c r="F25" s="22" t="s">
        <v>110</v>
      </c>
      <c r="G25" s="39" t="s">
        <v>76</v>
      </c>
      <c r="H25" s="23"/>
      <c r="I25" s="38"/>
      <c r="J25" s="4"/>
      <c r="K25" s="4"/>
      <c r="L25" s="4"/>
    </row>
    <row r="26" spans="1:17" ht="14.25" x14ac:dyDescent="0.2">
      <c r="B26" s="21" t="s">
        <v>111</v>
      </c>
      <c r="F26" s="5" t="s">
        <v>112</v>
      </c>
      <c r="G26" s="40" t="s">
        <v>76</v>
      </c>
      <c r="H26" s="23"/>
      <c r="I26" s="38"/>
      <c r="J26" s="4"/>
      <c r="K26" s="4"/>
      <c r="L26" s="4"/>
    </row>
    <row r="27" spans="1:17" ht="18.75" customHeight="1" x14ac:dyDescent="0.2">
      <c r="B27" s="25" t="s">
        <v>83</v>
      </c>
      <c r="G27" s="41"/>
      <c r="I27" s="42"/>
      <c r="J27" s="4"/>
      <c r="K27" s="4"/>
      <c r="L27" s="4"/>
    </row>
    <row r="28" spans="1:17" ht="13.5" thickBot="1" x14ac:dyDescent="0.25">
      <c r="B28" s="35" t="s">
        <v>76</v>
      </c>
      <c r="C28" s="29"/>
      <c r="D28" s="29"/>
      <c r="E28" s="29"/>
      <c r="F28" s="29"/>
      <c r="G28" s="43"/>
      <c r="H28" s="4"/>
      <c r="I28" s="4"/>
      <c r="J28" s="4"/>
      <c r="K28" s="4"/>
      <c r="L28" s="4"/>
    </row>
    <row r="29" spans="1:17" x14ac:dyDescent="0.2">
      <c r="B29" s="4"/>
    </row>
    <row r="30" spans="1:17" x14ac:dyDescent="0.2">
      <c r="B30" s="5"/>
    </row>
    <row r="31" spans="1:17" x14ac:dyDescent="0.2">
      <c r="B31" s="33"/>
    </row>
    <row r="32" spans="1:17" x14ac:dyDescent="0.2">
      <c r="B32" s="33"/>
    </row>
  </sheetData>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30C5B-9A84-485E-8624-602FA3320042}">
  <sheetPr>
    <tabColor theme="0" tint="-0.14999847407452621"/>
  </sheetPr>
  <dimension ref="A2:Q32"/>
  <sheetViews>
    <sheetView showGridLines="0" zoomScale="130" zoomScaleNormal="13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24" style="2" customWidth="1"/>
    <col min="7" max="7" width="19.57031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115</v>
      </c>
    </row>
    <row r="3" spans="2:13" x14ac:dyDescent="0.2">
      <c r="B3" s="2" t="s">
        <v>0</v>
      </c>
      <c r="E3" s="3" t="s">
        <v>100</v>
      </c>
      <c r="F3" s="3" t="s">
        <v>116</v>
      </c>
      <c r="H3" s="3"/>
    </row>
    <row r="4" spans="2:13" x14ac:dyDescent="0.2">
      <c r="M4" s="4"/>
    </row>
    <row r="5" spans="2:13" ht="15" x14ac:dyDescent="0.25">
      <c r="B5" s="5" t="s">
        <v>3</v>
      </c>
      <c r="E5" s="6">
        <f>E7-E6</f>
        <v>13015</v>
      </c>
      <c r="F5" s="6">
        <f>F7-F6</f>
        <v>14106</v>
      </c>
      <c r="H5" s="7"/>
      <c r="M5" s="4"/>
    </row>
    <row r="6" spans="2:13" ht="15" x14ac:dyDescent="0.25">
      <c r="B6" s="2" t="s">
        <v>63</v>
      </c>
      <c r="E6" s="6">
        <v>0</v>
      </c>
      <c r="F6" s="6">
        <v>0</v>
      </c>
      <c r="H6" s="7"/>
      <c r="M6" s="4"/>
    </row>
    <row r="7" spans="2:13" ht="15" x14ac:dyDescent="0.25">
      <c r="B7" s="5" t="s">
        <v>33</v>
      </c>
      <c r="E7" s="9">
        <v>13015</v>
      </c>
      <c r="F7" s="9">
        <v>14106</v>
      </c>
      <c r="H7" s="7"/>
    </row>
    <row r="8" spans="2:13" ht="15" x14ac:dyDescent="0.25">
      <c r="B8" s="2" t="s">
        <v>5</v>
      </c>
      <c r="E8" s="6">
        <v>-152</v>
      </c>
      <c r="F8" s="6">
        <v>-310</v>
      </c>
      <c r="H8" s="7"/>
    </row>
    <row r="9" spans="2:13" ht="15" x14ac:dyDescent="0.25">
      <c r="B9" s="5" t="s">
        <v>6</v>
      </c>
      <c r="E9" s="6">
        <f>+E7+E8</f>
        <v>12863</v>
      </c>
      <c r="F9" s="6">
        <f>F7+F8</f>
        <v>13796</v>
      </c>
      <c r="H9" s="7"/>
    </row>
    <row r="10" spans="2:13" ht="15" x14ac:dyDescent="0.25">
      <c r="B10" s="2" t="s">
        <v>7</v>
      </c>
      <c r="E10" s="6">
        <v>-6974</v>
      </c>
      <c r="F10" s="6">
        <v>-7152</v>
      </c>
      <c r="H10" s="7"/>
      <c r="M10" s="4"/>
    </row>
    <row r="11" spans="2:13" ht="15" x14ac:dyDescent="0.25">
      <c r="B11" s="2" t="s">
        <v>8</v>
      </c>
      <c r="E11" s="8">
        <v>-6521</v>
      </c>
      <c r="F11" s="8">
        <v>-8</v>
      </c>
      <c r="H11" s="7"/>
      <c r="M11" s="4"/>
    </row>
    <row r="12" spans="2:13" ht="15" x14ac:dyDescent="0.25">
      <c r="B12" s="5" t="s">
        <v>9</v>
      </c>
      <c r="E12" s="6">
        <v>-632</v>
      </c>
      <c r="F12" s="6">
        <v>6636</v>
      </c>
      <c r="H12" s="7"/>
    </row>
    <row r="13" spans="2:13" ht="15" x14ac:dyDescent="0.25">
      <c r="B13" s="2" t="s">
        <v>10</v>
      </c>
      <c r="E13" s="6">
        <f>E8</f>
        <v>-152</v>
      </c>
      <c r="F13" s="6">
        <f>F8</f>
        <v>-310</v>
      </c>
      <c r="H13" s="7"/>
    </row>
    <row r="14" spans="2:13" ht="15" x14ac:dyDescent="0.25">
      <c r="B14" s="5" t="s">
        <v>11</v>
      </c>
      <c r="E14" s="6">
        <f>E11</f>
        <v>-6521</v>
      </c>
      <c r="F14" s="6">
        <f>F11</f>
        <v>-8</v>
      </c>
      <c r="H14" s="7"/>
      <c r="M14" s="4"/>
    </row>
    <row r="15" spans="2:13" ht="15" x14ac:dyDescent="0.25">
      <c r="B15" s="5" t="s">
        <v>12</v>
      </c>
      <c r="E15" s="6">
        <f>E12-E13-E14</f>
        <v>6041</v>
      </c>
      <c r="F15" s="6">
        <f>F12-F13-F14</f>
        <v>6954</v>
      </c>
      <c r="H15" s="7"/>
    </row>
    <row r="16" spans="2:13" ht="15" x14ac:dyDescent="0.25">
      <c r="B16" s="2" t="s">
        <v>57</v>
      </c>
      <c r="E16" s="6">
        <f>+E6</f>
        <v>0</v>
      </c>
      <c r="F16" s="6">
        <v>0</v>
      </c>
      <c r="H16" s="7"/>
    </row>
    <row r="17" spans="1:17" ht="15" x14ac:dyDescent="0.25">
      <c r="B17" s="5" t="s">
        <v>14</v>
      </c>
      <c r="E17" s="6">
        <f>E15-E16</f>
        <v>6041</v>
      </c>
      <c r="F17" s="6">
        <f>F15-F16</f>
        <v>6954</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3.5" thickBot="1" x14ac:dyDescent="0.25">
      <c r="B21" s="13"/>
      <c r="C21" s="13"/>
      <c r="D21" s="13"/>
      <c r="E21" s="13"/>
      <c r="F21" s="13"/>
      <c r="G21" s="13"/>
      <c r="H21" s="13"/>
      <c r="I21" s="13"/>
      <c r="J21" s="13"/>
      <c r="K21" s="13"/>
      <c r="L21" s="13"/>
    </row>
    <row r="22" spans="1:17" ht="15.75" x14ac:dyDescent="0.25">
      <c r="B22" s="14" t="s">
        <v>117</v>
      </c>
      <c r="C22" s="15"/>
      <c r="D22" s="15"/>
      <c r="E22" s="15"/>
      <c r="F22" s="15"/>
      <c r="G22" s="21"/>
      <c r="I22" s="4"/>
      <c r="J22" s="4"/>
      <c r="K22" s="4"/>
      <c r="L22" s="4"/>
    </row>
    <row r="23" spans="1:17" ht="14.25" x14ac:dyDescent="0.2">
      <c r="B23" s="17"/>
      <c r="F23" s="18">
        <v>2021</v>
      </c>
      <c r="G23" s="36"/>
      <c r="J23" s="4"/>
      <c r="K23" s="4"/>
      <c r="L23" s="4"/>
    </row>
    <row r="24" spans="1:17" ht="14.25" x14ac:dyDescent="0.2">
      <c r="B24" s="21" t="s">
        <v>107</v>
      </c>
      <c r="F24" s="22" t="s">
        <v>118</v>
      </c>
      <c r="G24" s="37" t="s">
        <v>76</v>
      </c>
      <c r="H24" s="23"/>
      <c r="I24" s="38"/>
      <c r="J24" s="4"/>
      <c r="K24" s="4"/>
      <c r="L24" s="4"/>
    </row>
    <row r="25" spans="1:17" ht="14.25" x14ac:dyDescent="0.2">
      <c r="B25" s="21" t="s">
        <v>109</v>
      </c>
      <c r="F25" s="22" t="s">
        <v>118</v>
      </c>
      <c r="G25" s="39" t="s">
        <v>76</v>
      </c>
      <c r="H25" s="23"/>
      <c r="I25" s="38"/>
      <c r="J25" s="4"/>
      <c r="K25" s="4"/>
      <c r="L25" s="4"/>
    </row>
    <row r="26" spans="1:17" ht="14.25" x14ac:dyDescent="0.2">
      <c r="B26" s="21" t="s">
        <v>111</v>
      </c>
      <c r="F26" s="5" t="s">
        <v>112</v>
      </c>
      <c r="G26" s="40" t="s">
        <v>76</v>
      </c>
      <c r="H26" s="23"/>
      <c r="I26" s="38"/>
      <c r="J26" s="4"/>
      <c r="K26" s="4"/>
      <c r="L26" s="4"/>
    </row>
    <row r="27" spans="1:17" ht="18.75" customHeight="1" x14ac:dyDescent="0.2">
      <c r="B27" s="25" t="s">
        <v>83</v>
      </c>
      <c r="G27" s="41"/>
      <c r="I27" s="42"/>
      <c r="J27" s="4"/>
      <c r="K27" s="4"/>
      <c r="L27" s="4"/>
    </row>
    <row r="28" spans="1:17" ht="13.5" thickBot="1" x14ac:dyDescent="0.25">
      <c r="B28" s="35" t="s">
        <v>76</v>
      </c>
      <c r="C28" s="29"/>
      <c r="D28" s="29"/>
      <c r="E28" s="29"/>
      <c r="F28" s="29"/>
      <c r="G28" s="43"/>
      <c r="H28" s="4"/>
      <c r="I28" s="4"/>
      <c r="J28" s="4"/>
      <c r="K28" s="4"/>
      <c r="L28" s="4"/>
    </row>
    <row r="29" spans="1:17" x14ac:dyDescent="0.2">
      <c r="B29" s="4"/>
    </row>
    <row r="30" spans="1:17" x14ac:dyDescent="0.2">
      <c r="B30" s="5"/>
    </row>
    <row r="31" spans="1:17" x14ac:dyDescent="0.2">
      <c r="B31" s="33"/>
    </row>
    <row r="32" spans="1:17" x14ac:dyDescent="0.2">
      <c r="B32" s="33"/>
    </row>
  </sheetData>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2:Q32"/>
  <sheetViews>
    <sheetView showGridLines="0" zoomScale="130" zoomScaleNormal="13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24" style="2" customWidth="1"/>
    <col min="7" max="7" width="19.57031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119</v>
      </c>
    </row>
    <row r="3" spans="2:13" x14ac:dyDescent="0.2">
      <c r="B3" s="2" t="s">
        <v>0</v>
      </c>
      <c r="E3" s="3" t="s">
        <v>103</v>
      </c>
      <c r="F3" s="3" t="s">
        <v>120</v>
      </c>
      <c r="H3" s="3"/>
    </row>
    <row r="4" spans="2:13" x14ac:dyDescent="0.2">
      <c r="M4" s="4"/>
    </row>
    <row r="5" spans="2:13" ht="15" x14ac:dyDescent="0.25">
      <c r="B5" s="5" t="s">
        <v>3</v>
      </c>
      <c r="E5" s="6">
        <f>E7-E6</f>
        <v>13389</v>
      </c>
      <c r="F5" s="6">
        <f>F7-F6</f>
        <v>13291</v>
      </c>
      <c r="H5" s="7"/>
      <c r="M5" s="4"/>
    </row>
    <row r="6" spans="2:13" ht="15" x14ac:dyDescent="0.25">
      <c r="B6" s="2" t="s">
        <v>63</v>
      </c>
      <c r="E6" s="6">
        <f>84+76-37</f>
        <v>123</v>
      </c>
      <c r="F6" s="6">
        <f>56+50</f>
        <v>106</v>
      </c>
      <c r="H6" s="7"/>
      <c r="M6" s="4"/>
    </row>
    <row r="7" spans="2:13" ht="15" x14ac:dyDescent="0.25">
      <c r="B7" s="5" t="s">
        <v>33</v>
      </c>
      <c r="E7" s="9">
        <v>13512</v>
      </c>
      <c r="F7" s="9">
        <v>13397</v>
      </c>
      <c r="H7" s="7"/>
    </row>
    <row r="8" spans="2:13" ht="15" x14ac:dyDescent="0.25">
      <c r="B8" s="2" t="s">
        <v>5</v>
      </c>
      <c r="E8" s="6">
        <f>+E9-E7</f>
        <v>2974</v>
      </c>
      <c r="F8" s="6">
        <f>+F9-F7</f>
        <v>-215</v>
      </c>
      <c r="H8" s="7"/>
    </row>
    <row r="9" spans="2:13" ht="15" x14ac:dyDescent="0.25">
      <c r="B9" s="5" t="s">
        <v>6</v>
      </c>
      <c r="E9" s="6">
        <v>16486</v>
      </c>
      <c r="F9" s="6">
        <v>13182</v>
      </c>
      <c r="H9" s="7"/>
    </row>
    <row r="10" spans="2:13" ht="15" x14ac:dyDescent="0.25">
      <c r="B10" s="2" t="s">
        <v>7</v>
      </c>
      <c r="E10" s="6">
        <v>-7190</v>
      </c>
      <c r="F10" s="6">
        <v>-6835</v>
      </c>
      <c r="H10" s="7"/>
      <c r="M10" s="4"/>
    </row>
    <row r="11" spans="2:13" ht="15" x14ac:dyDescent="0.25">
      <c r="B11" s="2" t="s">
        <v>8</v>
      </c>
      <c r="E11" s="8">
        <v>-3</v>
      </c>
      <c r="F11" s="8">
        <v>-63</v>
      </c>
      <c r="H11" s="7"/>
      <c r="M11" s="4"/>
    </row>
    <row r="12" spans="2:13" ht="15" x14ac:dyDescent="0.25">
      <c r="B12" s="5" t="s">
        <v>9</v>
      </c>
      <c r="E12" s="6">
        <v>9292</v>
      </c>
      <c r="F12" s="6">
        <v>6283</v>
      </c>
      <c r="H12" s="7"/>
    </row>
    <row r="13" spans="2:13" ht="15" x14ac:dyDescent="0.25">
      <c r="B13" s="2" t="s">
        <v>10</v>
      </c>
      <c r="E13" s="6">
        <f>E8</f>
        <v>2974</v>
      </c>
      <c r="F13" s="6">
        <f>F8</f>
        <v>-215</v>
      </c>
      <c r="H13" s="7"/>
    </row>
    <row r="14" spans="2:13" ht="15" x14ac:dyDescent="0.25">
      <c r="B14" s="5" t="s">
        <v>11</v>
      </c>
      <c r="E14" s="6">
        <f>E11</f>
        <v>-3</v>
      </c>
      <c r="F14" s="6">
        <f>F11</f>
        <v>-63</v>
      </c>
      <c r="H14" s="7"/>
      <c r="M14" s="4"/>
    </row>
    <row r="15" spans="2:13" ht="15" x14ac:dyDescent="0.25">
      <c r="B15" s="5" t="s">
        <v>12</v>
      </c>
      <c r="E15" s="6">
        <f>E12-E13-E14</f>
        <v>6321</v>
      </c>
      <c r="F15" s="6">
        <f>F12-F13-F14</f>
        <v>6561</v>
      </c>
      <c r="H15" s="7"/>
    </row>
    <row r="16" spans="2:13" ht="15" x14ac:dyDescent="0.25">
      <c r="B16" s="2" t="s">
        <v>57</v>
      </c>
      <c r="E16" s="6">
        <f>+E6</f>
        <v>123</v>
      </c>
      <c r="F16" s="6">
        <f>F6</f>
        <v>106</v>
      </c>
      <c r="H16" s="7"/>
    </row>
    <row r="17" spans="1:17" ht="15" x14ac:dyDescent="0.25">
      <c r="B17" s="5" t="s">
        <v>14</v>
      </c>
      <c r="E17" s="6">
        <f>E15-E16</f>
        <v>6198</v>
      </c>
      <c r="F17" s="6">
        <f>F15-F16</f>
        <v>6455</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3.5" thickBot="1" x14ac:dyDescent="0.25">
      <c r="B21" s="13"/>
      <c r="C21" s="13"/>
      <c r="D21" s="13"/>
      <c r="E21" s="13"/>
      <c r="F21" s="13"/>
      <c r="G21" s="13"/>
      <c r="H21" s="13"/>
      <c r="I21" s="13"/>
      <c r="J21" s="13"/>
      <c r="K21" s="13"/>
      <c r="L21" s="13"/>
    </row>
    <row r="22" spans="1:17" ht="15.75" x14ac:dyDescent="0.25">
      <c r="B22" s="14" t="s">
        <v>106</v>
      </c>
      <c r="C22" s="15"/>
      <c r="D22" s="15"/>
      <c r="E22" s="15"/>
      <c r="F22" s="15"/>
      <c r="G22" s="21"/>
      <c r="I22" s="4"/>
      <c r="J22" s="4"/>
      <c r="K22" s="4"/>
      <c r="L22" s="4"/>
    </row>
    <row r="23" spans="1:17" ht="14.25" x14ac:dyDescent="0.2">
      <c r="B23" s="17"/>
      <c r="F23" s="18">
        <v>2021</v>
      </c>
      <c r="G23" s="36"/>
      <c r="J23" s="4"/>
      <c r="K23" s="4"/>
      <c r="L23" s="4"/>
    </row>
    <row r="24" spans="1:17" ht="14.25" x14ac:dyDescent="0.2">
      <c r="B24" s="21" t="s">
        <v>107</v>
      </c>
      <c r="F24" s="22" t="s">
        <v>118</v>
      </c>
      <c r="G24" s="37" t="s">
        <v>76</v>
      </c>
      <c r="H24" s="23"/>
      <c r="I24" s="38"/>
      <c r="J24" s="4"/>
      <c r="K24" s="4"/>
      <c r="L24" s="4"/>
    </row>
    <row r="25" spans="1:17" ht="14.25" x14ac:dyDescent="0.2">
      <c r="B25" s="21" t="s">
        <v>109</v>
      </c>
      <c r="F25" s="22" t="s">
        <v>118</v>
      </c>
      <c r="G25" s="39" t="s">
        <v>76</v>
      </c>
      <c r="H25" s="23"/>
      <c r="I25" s="38"/>
      <c r="J25" s="4"/>
      <c r="K25" s="4"/>
      <c r="L25" s="4"/>
    </row>
    <row r="26" spans="1:17" ht="14.25" x14ac:dyDescent="0.2">
      <c r="B26" s="21" t="s">
        <v>111</v>
      </c>
      <c r="F26" s="5" t="s">
        <v>112</v>
      </c>
      <c r="G26" s="40" t="s">
        <v>76</v>
      </c>
      <c r="H26" s="23"/>
      <c r="I26" s="38"/>
      <c r="J26" s="4"/>
      <c r="K26" s="4"/>
      <c r="L26" s="4"/>
    </row>
    <row r="27" spans="1:17" ht="18.75" customHeight="1" x14ac:dyDescent="0.2">
      <c r="B27" s="25" t="s">
        <v>83</v>
      </c>
      <c r="G27" s="41"/>
      <c r="I27" s="42"/>
      <c r="J27" s="4"/>
      <c r="K27" s="4"/>
      <c r="L27" s="4"/>
    </row>
    <row r="28" spans="1:17" ht="13.5" thickBot="1" x14ac:dyDescent="0.25">
      <c r="B28" s="35" t="s">
        <v>76</v>
      </c>
      <c r="C28" s="29"/>
      <c r="D28" s="29"/>
      <c r="E28" s="29"/>
      <c r="F28" s="29"/>
      <c r="G28" s="43"/>
      <c r="H28" s="4"/>
      <c r="I28" s="4"/>
      <c r="J28" s="4"/>
      <c r="K28" s="4"/>
      <c r="L28" s="4"/>
    </row>
    <row r="29" spans="1:17" x14ac:dyDescent="0.2">
      <c r="B29" s="4"/>
    </row>
    <row r="30" spans="1:17" x14ac:dyDescent="0.2">
      <c r="B30" s="5"/>
    </row>
    <row r="31" spans="1:17" x14ac:dyDescent="0.2">
      <c r="B31" s="33"/>
    </row>
    <row r="32" spans="1:17" x14ac:dyDescent="0.2">
      <c r="B32" s="33"/>
    </row>
  </sheetData>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2:Q32"/>
  <sheetViews>
    <sheetView showGridLines="0" zoomScale="90" zoomScaleNormal="9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25.140625" style="2" customWidth="1"/>
    <col min="7" max="7" width="23.5703125" style="47"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121</v>
      </c>
    </row>
    <row r="3" spans="2:13" x14ac:dyDescent="0.2">
      <c r="B3" s="2" t="s">
        <v>0</v>
      </c>
      <c r="E3" s="3" t="s">
        <v>105</v>
      </c>
      <c r="F3" s="3" t="s">
        <v>122</v>
      </c>
      <c r="H3" s="3"/>
    </row>
    <row r="4" spans="2:13" x14ac:dyDescent="0.2">
      <c r="E4" s="55"/>
      <c r="F4" s="55"/>
      <c r="M4" s="4"/>
    </row>
    <row r="5" spans="2:13" x14ac:dyDescent="0.2">
      <c r="B5" s="5" t="s">
        <v>3</v>
      </c>
      <c r="E5" s="58">
        <f>E7-E6</f>
        <v>14347.93</v>
      </c>
      <c r="F5" s="58">
        <f>F7-F6</f>
        <v>13206.09</v>
      </c>
      <c r="H5" s="7"/>
      <c r="M5" s="4"/>
    </row>
    <row r="6" spans="2:13" x14ac:dyDescent="0.2">
      <c r="B6" s="2" t="s">
        <v>63</v>
      </c>
      <c r="E6" s="58">
        <f>143+80</f>
        <v>223</v>
      </c>
      <c r="F6" s="58">
        <f>-110+36</f>
        <v>-74</v>
      </c>
      <c r="H6" s="7"/>
      <c r="M6" s="4"/>
    </row>
    <row r="7" spans="2:13" x14ac:dyDescent="0.2">
      <c r="B7" s="5" t="s">
        <v>33</v>
      </c>
      <c r="E7" s="59">
        <v>14570.93</v>
      </c>
      <c r="F7" s="59">
        <v>13132.09</v>
      </c>
      <c r="H7" s="7"/>
    </row>
    <row r="8" spans="2:13" ht="15" x14ac:dyDescent="0.25">
      <c r="B8" s="2" t="s">
        <v>5</v>
      </c>
      <c r="E8" s="58">
        <v>752.3</v>
      </c>
      <c r="F8" s="58">
        <v>-140.47</v>
      </c>
      <c r="G8" s="48"/>
      <c r="H8" s="7"/>
    </row>
    <row r="9" spans="2:13" x14ac:dyDescent="0.2">
      <c r="B9" s="5" t="s">
        <v>6</v>
      </c>
      <c r="E9" s="58">
        <f>E7+E8</f>
        <v>15323.23</v>
      </c>
      <c r="F9" s="58">
        <f>F7+F8</f>
        <v>12991.62</v>
      </c>
      <c r="H9" s="7"/>
    </row>
    <row r="10" spans="2:13" x14ac:dyDescent="0.2">
      <c r="B10" s="2" t="s">
        <v>7</v>
      </c>
      <c r="E10" s="58">
        <v>-7131.77</v>
      </c>
      <c r="F10" s="58">
        <v>-6290.48</v>
      </c>
      <c r="H10" s="7"/>
      <c r="M10" s="4"/>
    </row>
    <row r="11" spans="2:13" x14ac:dyDescent="0.2">
      <c r="B11" s="2" t="s">
        <v>8</v>
      </c>
      <c r="E11" s="60">
        <v>0</v>
      </c>
      <c r="F11" s="60">
        <v>18.649999999999999</v>
      </c>
      <c r="H11" s="7"/>
      <c r="M11" s="4"/>
    </row>
    <row r="12" spans="2:13" x14ac:dyDescent="0.2">
      <c r="B12" s="5" t="s">
        <v>9</v>
      </c>
      <c r="E12" s="58">
        <f>+E9+E10+E11</f>
        <v>8191.4599999999991</v>
      </c>
      <c r="F12" s="58">
        <f>+F9+F10+F11</f>
        <v>6719.7900000000009</v>
      </c>
      <c r="H12" s="7"/>
    </row>
    <row r="13" spans="2:13" x14ac:dyDescent="0.2">
      <c r="B13" s="2" t="s">
        <v>10</v>
      </c>
      <c r="E13" s="58">
        <f>E8</f>
        <v>752.3</v>
      </c>
      <c r="F13" s="58">
        <f>F8</f>
        <v>-140.47</v>
      </c>
      <c r="H13" s="7"/>
    </row>
    <row r="14" spans="2:13" x14ac:dyDescent="0.2">
      <c r="B14" s="5" t="s">
        <v>11</v>
      </c>
      <c r="E14" s="58">
        <f>E11</f>
        <v>0</v>
      </c>
      <c r="F14" s="58">
        <f>F11</f>
        <v>18.649999999999999</v>
      </c>
      <c r="H14" s="7"/>
      <c r="M14" s="4"/>
    </row>
    <row r="15" spans="2:13" x14ac:dyDescent="0.2">
      <c r="B15" s="5" t="s">
        <v>12</v>
      </c>
      <c r="E15" s="58">
        <f>E12-E13-E14</f>
        <v>7439.1599999999989</v>
      </c>
      <c r="F15" s="58">
        <f>F12-F13-F14</f>
        <v>6841.6100000000015</v>
      </c>
      <c r="H15" s="7"/>
    </row>
    <row r="16" spans="2:13" x14ac:dyDescent="0.2">
      <c r="B16" s="2" t="s">
        <v>57</v>
      </c>
      <c r="E16" s="58">
        <f>+E6</f>
        <v>223</v>
      </c>
      <c r="F16" s="58">
        <f>F6</f>
        <v>-74</v>
      </c>
      <c r="H16" s="7"/>
    </row>
    <row r="17" spans="1:17" x14ac:dyDescent="0.2">
      <c r="B17" s="5" t="s">
        <v>14</v>
      </c>
      <c r="E17" s="58">
        <f>E15-E16</f>
        <v>7216.1599999999989</v>
      </c>
      <c r="F17" s="58">
        <f>F15-F16</f>
        <v>6915.6100000000015</v>
      </c>
      <c r="H17" s="7"/>
    </row>
    <row r="19" spans="1:17" s="10" customFormat="1" ht="15" x14ac:dyDescent="0.2">
      <c r="A19" s="2"/>
      <c r="B19" s="2" t="s">
        <v>15</v>
      </c>
      <c r="C19" s="2"/>
      <c r="D19" s="2"/>
      <c r="E19" s="2"/>
      <c r="F19" s="2"/>
      <c r="G19" s="47"/>
      <c r="H19" s="2"/>
      <c r="I19" s="2"/>
      <c r="J19" s="2"/>
    </row>
    <row r="20" spans="1:17" x14ac:dyDescent="0.2">
      <c r="B20" s="11"/>
      <c r="C20" s="11"/>
      <c r="D20" s="11"/>
      <c r="E20" s="11"/>
      <c r="F20" s="11"/>
      <c r="G20" s="49"/>
      <c r="H20" s="11"/>
      <c r="I20" s="11"/>
      <c r="J20" s="11"/>
      <c r="K20" s="11"/>
      <c r="L20" s="11"/>
      <c r="M20" s="12"/>
      <c r="N20" s="12"/>
      <c r="O20" s="12"/>
      <c r="P20" s="12"/>
      <c r="Q20" s="12"/>
    </row>
    <row r="21" spans="1:17" ht="13.5" thickBot="1" x14ac:dyDescent="0.25">
      <c r="B21" s="13"/>
      <c r="C21" s="13"/>
      <c r="D21" s="13"/>
      <c r="E21" s="13"/>
      <c r="F21" s="13"/>
      <c r="G21" s="50"/>
      <c r="H21" s="13"/>
      <c r="I21" s="13"/>
      <c r="J21" s="13"/>
      <c r="K21" s="13"/>
      <c r="L21" s="13"/>
    </row>
    <row r="22" spans="1:17" ht="15.75" x14ac:dyDescent="0.25">
      <c r="B22" s="14" t="s">
        <v>123</v>
      </c>
      <c r="C22" s="15"/>
      <c r="D22" s="15"/>
      <c r="E22" s="15"/>
      <c r="F22" s="15"/>
      <c r="G22" s="51"/>
      <c r="H22" s="15"/>
      <c r="I22" s="16"/>
      <c r="J22" s="4"/>
      <c r="K22" s="4"/>
      <c r="L22" s="4"/>
    </row>
    <row r="23" spans="1:17" ht="14.25" x14ac:dyDescent="0.2">
      <c r="B23" s="17"/>
      <c r="F23" s="18">
        <v>2020</v>
      </c>
      <c r="G23" s="2"/>
      <c r="H23" s="52" t="s">
        <v>124</v>
      </c>
      <c r="I23" s="20"/>
      <c r="J23" s="4"/>
      <c r="K23" s="4"/>
      <c r="L23" s="4"/>
    </row>
    <row r="24" spans="1:17" x14ac:dyDescent="0.2">
      <c r="B24" s="21" t="s">
        <v>125</v>
      </c>
      <c r="F24" s="22" t="s">
        <v>126</v>
      </c>
      <c r="G24" s="2"/>
      <c r="H24" s="53">
        <v>-1.4E-2</v>
      </c>
      <c r="I24" s="24"/>
      <c r="J24" s="4"/>
      <c r="K24" s="4"/>
      <c r="L24" s="4"/>
    </row>
    <row r="25" spans="1:17" x14ac:dyDescent="0.2">
      <c r="B25" s="21" t="s">
        <v>127</v>
      </c>
      <c r="F25" s="22" t="s">
        <v>128</v>
      </c>
      <c r="G25" s="2"/>
      <c r="H25" s="54" t="s">
        <v>129</v>
      </c>
      <c r="I25" s="24"/>
      <c r="J25" s="4"/>
      <c r="K25" s="4"/>
      <c r="L25" s="4"/>
    </row>
    <row r="26" spans="1:17" x14ac:dyDescent="0.2">
      <c r="B26" s="21" t="s">
        <v>130</v>
      </c>
      <c r="F26" s="5" t="s">
        <v>131</v>
      </c>
      <c r="G26" s="2"/>
      <c r="H26" s="53">
        <v>0.115</v>
      </c>
      <c r="I26" s="24"/>
      <c r="J26" s="4"/>
      <c r="K26" s="4"/>
      <c r="L26" s="4"/>
    </row>
    <row r="27" spans="1:17" ht="18.75" customHeight="1" x14ac:dyDescent="0.2">
      <c r="B27" s="25" t="s">
        <v>132</v>
      </c>
      <c r="G27" s="55"/>
      <c r="I27" s="27"/>
      <c r="J27" s="4"/>
      <c r="K27" s="4"/>
      <c r="L27" s="4"/>
    </row>
    <row r="28" spans="1:17" ht="15.75" customHeight="1" thickBot="1" x14ac:dyDescent="0.25">
      <c r="B28" s="57" t="s">
        <v>133</v>
      </c>
      <c r="C28" s="29"/>
      <c r="D28" s="29"/>
      <c r="E28" s="29"/>
      <c r="F28" s="29"/>
      <c r="G28" s="56"/>
      <c r="H28" s="29"/>
      <c r="I28" s="30"/>
      <c r="J28" s="4"/>
      <c r="K28" s="4"/>
      <c r="L28" s="4"/>
    </row>
    <row r="29" spans="1:17" x14ac:dyDescent="0.2">
      <c r="B29" s="4"/>
    </row>
    <row r="30" spans="1:17" x14ac:dyDescent="0.2">
      <c r="B30" s="5"/>
    </row>
    <row r="31" spans="1:17" x14ac:dyDescent="0.2">
      <c r="B31" s="33"/>
    </row>
    <row r="32" spans="1:17" x14ac:dyDescent="0.2">
      <c r="B32" s="33"/>
    </row>
  </sheetData>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2:Q32"/>
  <sheetViews>
    <sheetView showGridLines="0" zoomScale="90" zoomScaleNormal="9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25.140625" style="2" customWidth="1"/>
    <col min="7" max="7" width="23.5703125" style="47"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134</v>
      </c>
    </row>
    <row r="3" spans="2:13" x14ac:dyDescent="0.2">
      <c r="B3" s="2" t="s">
        <v>0</v>
      </c>
      <c r="E3" s="3" t="s">
        <v>114</v>
      </c>
      <c r="F3" s="3" t="s">
        <v>135</v>
      </c>
      <c r="H3" s="3"/>
    </row>
    <row r="4" spans="2:13" x14ac:dyDescent="0.2">
      <c r="E4" s="55"/>
      <c r="F4" s="55"/>
      <c r="M4" s="4"/>
    </row>
    <row r="5" spans="2:13" x14ac:dyDescent="0.2">
      <c r="B5" s="5" t="s">
        <v>3</v>
      </c>
      <c r="E5" s="58">
        <f>E7-E6</f>
        <v>14195</v>
      </c>
      <c r="F5" s="58">
        <f>F7-F6</f>
        <v>12127</v>
      </c>
      <c r="H5" s="7"/>
      <c r="M5" s="4"/>
    </row>
    <row r="6" spans="2:13" x14ac:dyDescent="0.2">
      <c r="B6" s="2" t="s">
        <v>63</v>
      </c>
      <c r="E6" s="58">
        <v>136</v>
      </c>
      <c r="F6" s="58">
        <v>-98</v>
      </c>
      <c r="H6" s="7"/>
      <c r="M6" s="4"/>
    </row>
    <row r="7" spans="2:13" x14ac:dyDescent="0.2">
      <c r="B7" s="5" t="s">
        <v>33</v>
      </c>
      <c r="E7" s="59">
        <v>14331</v>
      </c>
      <c r="F7" s="59">
        <v>12029</v>
      </c>
      <c r="H7" s="7"/>
    </row>
    <row r="8" spans="2:13" ht="15" x14ac:dyDescent="0.25">
      <c r="B8" s="2" t="s">
        <v>5</v>
      </c>
      <c r="E8" s="58">
        <v>-1371</v>
      </c>
      <c r="F8" s="58">
        <v>-102</v>
      </c>
      <c r="G8" s="48"/>
      <c r="H8" s="7"/>
    </row>
    <row r="9" spans="2:13" x14ac:dyDescent="0.2">
      <c r="B9" s="5" t="s">
        <v>6</v>
      </c>
      <c r="E9" s="58">
        <f>E7+E8</f>
        <v>12960</v>
      </c>
      <c r="F9" s="58">
        <f>F7+F8</f>
        <v>11927</v>
      </c>
      <c r="H9" s="7"/>
    </row>
    <row r="10" spans="2:13" x14ac:dyDescent="0.2">
      <c r="B10" s="2" t="s">
        <v>7</v>
      </c>
      <c r="E10" s="58">
        <v>-7579</v>
      </c>
      <c r="F10" s="58">
        <v>-5767</v>
      </c>
      <c r="H10" s="7"/>
      <c r="M10" s="4"/>
    </row>
    <row r="11" spans="2:13" x14ac:dyDescent="0.2">
      <c r="B11" s="2" t="s">
        <v>8</v>
      </c>
      <c r="E11" s="60">
        <v>0</v>
      </c>
      <c r="F11" s="60">
        <v>17</v>
      </c>
      <c r="H11" s="7"/>
      <c r="M11" s="4"/>
    </row>
    <row r="12" spans="2:13" x14ac:dyDescent="0.2">
      <c r="B12" s="5" t="s">
        <v>9</v>
      </c>
      <c r="E12" s="58">
        <v>5380</v>
      </c>
      <c r="F12" s="58">
        <v>6176</v>
      </c>
      <c r="H12" s="7"/>
    </row>
    <row r="13" spans="2:13" x14ac:dyDescent="0.2">
      <c r="B13" s="2" t="s">
        <v>10</v>
      </c>
      <c r="E13" s="58">
        <f>E8</f>
        <v>-1371</v>
      </c>
      <c r="F13" s="58">
        <f>F8</f>
        <v>-102</v>
      </c>
      <c r="H13" s="7"/>
    </row>
    <row r="14" spans="2:13" x14ac:dyDescent="0.2">
      <c r="B14" s="5" t="s">
        <v>11</v>
      </c>
      <c r="E14" s="58">
        <f>E11</f>
        <v>0</v>
      </c>
      <c r="F14" s="58">
        <f>F11</f>
        <v>17</v>
      </c>
      <c r="H14" s="7"/>
      <c r="M14" s="4"/>
    </row>
    <row r="15" spans="2:13" x14ac:dyDescent="0.2">
      <c r="B15" s="5" t="s">
        <v>12</v>
      </c>
      <c r="E15" s="58">
        <f>E12-E13-E14</f>
        <v>6751</v>
      </c>
      <c r="F15" s="58">
        <f>F12-F13-F14</f>
        <v>6261</v>
      </c>
      <c r="H15" s="7"/>
    </row>
    <row r="16" spans="2:13" x14ac:dyDescent="0.2">
      <c r="B16" s="2" t="s">
        <v>57</v>
      </c>
      <c r="E16" s="58">
        <f>+E6</f>
        <v>136</v>
      </c>
      <c r="F16" s="58">
        <f>F6</f>
        <v>-98</v>
      </c>
      <c r="H16" s="7"/>
    </row>
    <row r="17" spans="1:17" x14ac:dyDescent="0.2">
      <c r="B17" s="5" t="s">
        <v>14</v>
      </c>
      <c r="E17" s="58">
        <f>E15-E16</f>
        <v>6615</v>
      </c>
      <c r="F17" s="58">
        <f>F15-F16</f>
        <v>6359</v>
      </c>
      <c r="H17" s="7"/>
    </row>
    <row r="19" spans="1:17" s="10" customFormat="1" ht="15" x14ac:dyDescent="0.2">
      <c r="A19" s="2"/>
      <c r="B19" s="2" t="s">
        <v>15</v>
      </c>
      <c r="C19" s="2"/>
      <c r="D19" s="2"/>
      <c r="E19" s="2"/>
      <c r="F19" s="2"/>
      <c r="G19" s="47"/>
      <c r="H19" s="2"/>
      <c r="I19" s="2"/>
      <c r="J19" s="2"/>
    </row>
    <row r="20" spans="1:17" x14ac:dyDescent="0.2">
      <c r="B20" s="11"/>
      <c r="C20" s="11"/>
      <c r="D20" s="11"/>
      <c r="E20" s="11"/>
      <c r="F20" s="11"/>
      <c r="G20" s="49"/>
      <c r="H20" s="11"/>
      <c r="I20" s="11"/>
      <c r="J20" s="11"/>
      <c r="K20" s="11"/>
      <c r="L20" s="11"/>
      <c r="M20" s="12"/>
      <c r="N20" s="12"/>
      <c r="O20" s="12"/>
      <c r="P20" s="12"/>
      <c r="Q20" s="12"/>
    </row>
    <row r="21" spans="1:17" ht="13.5" thickBot="1" x14ac:dyDescent="0.25">
      <c r="B21" s="13"/>
      <c r="C21" s="13"/>
      <c r="D21" s="13"/>
      <c r="E21" s="13"/>
      <c r="F21" s="13"/>
      <c r="G21" s="50"/>
      <c r="H21" s="13"/>
      <c r="I21" s="13"/>
      <c r="J21" s="13"/>
      <c r="K21" s="13"/>
      <c r="L21" s="13"/>
    </row>
    <row r="22" spans="1:17" ht="15.75" x14ac:dyDescent="0.25">
      <c r="B22" s="14" t="s">
        <v>123</v>
      </c>
      <c r="C22" s="15"/>
      <c r="D22" s="15"/>
      <c r="E22" s="15"/>
      <c r="F22" s="15"/>
      <c r="G22" s="51"/>
      <c r="H22" s="15"/>
      <c r="I22" s="16"/>
      <c r="J22" s="4"/>
      <c r="K22" s="4"/>
      <c r="L22" s="4"/>
    </row>
    <row r="23" spans="1:17" ht="14.25" x14ac:dyDescent="0.2">
      <c r="B23" s="17"/>
      <c r="F23" s="18">
        <v>2020</v>
      </c>
      <c r="G23" s="2"/>
      <c r="H23" s="52" t="s">
        <v>136</v>
      </c>
      <c r="I23" s="20"/>
      <c r="J23" s="4"/>
      <c r="K23" s="4"/>
      <c r="L23" s="4"/>
    </row>
    <row r="24" spans="1:17" x14ac:dyDescent="0.2">
      <c r="B24" s="21" t="s">
        <v>125</v>
      </c>
      <c r="F24" s="22" t="s">
        <v>137</v>
      </c>
      <c r="G24" s="2"/>
      <c r="H24" s="53">
        <v>-8.9999999999999993E-3</v>
      </c>
      <c r="I24" s="24"/>
      <c r="J24" s="4"/>
      <c r="K24" s="4"/>
      <c r="L24" s="4"/>
    </row>
    <row r="25" spans="1:17" x14ac:dyDescent="0.2">
      <c r="B25" s="21" t="s">
        <v>127</v>
      </c>
      <c r="F25" s="5" t="s">
        <v>138</v>
      </c>
      <c r="G25" s="2"/>
      <c r="H25" s="54" t="s">
        <v>139</v>
      </c>
      <c r="I25" s="24"/>
      <c r="J25" s="4"/>
      <c r="K25" s="4"/>
      <c r="L25" s="4"/>
    </row>
    <row r="26" spans="1:17" x14ac:dyDescent="0.2">
      <c r="B26" s="21" t="s">
        <v>130</v>
      </c>
      <c r="F26" s="5" t="s">
        <v>131</v>
      </c>
      <c r="G26" s="2"/>
      <c r="H26" s="53">
        <v>0.111</v>
      </c>
      <c r="I26" s="24"/>
      <c r="J26" s="4"/>
      <c r="K26" s="4"/>
      <c r="L26" s="4"/>
    </row>
    <row r="27" spans="1:17" ht="18.75" customHeight="1" x14ac:dyDescent="0.2">
      <c r="B27" s="25" t="s">
        <v>132</v>
      </c>
      <c r="G27" s="55"/>
      <c r="I27" s="27"/>
      <c r="J27" s="4"/>
      <c r="K27" s="4"/>
      <c r="L27" s="4"/>
    </row>
    <row r="28" spans="1:17" ht="15.75" customHeight="1" thickBot="1" x14ac:dyDescent="0.25">
      <c r="B28" s="57" t="s">
        <v>133</v>
      </c>
      <c r="C28" s="29"/>
      <c r="D28" s="29"/>
      <c r="E28" s="29"/>
      <c r="F28" s="29"/>
      <c r="G28" s="56"/>
      <c r="H28" s="29"/>
      <c r="I28" s="30"/>
      <c r="J28" s="4"/>
      <c r="K28" s="4"/>
      <c r="L28" s="4"/>
    </row>
    <row r="29" spans="1:17" x14ac:dyDescent="0.2">
      <c r="B29" s="4"/>
    </row>
    <row r="30" spans="1:17" x14ac:dyDescent="0.2">
      <c r="B30" s="5"/>
    </row>
    <row r="31" spans="1:17" x14ac:dyDescent="0.2">
      <c r="B31" s="33"/>
    </row>
    <row r="32" spans="1:17" x14ac:dyDescent="0.2">
      <c r="B32" s="33"/>
    </row>
  </sheetData>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14999847407452621"/>
  </sheetPr>
  <dimension ref="A2:Q31"/>
  <sheetViews>
    <sheetView showGridLines="0" zoomScale="110" zoomScaleNormal="11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4.5703125" style="2" customWidth="1"/>
    <col min="6" max="6" width="19.140625" style="2" customWidth="1"/>
    <col min="7" max="7" width="18.8554687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140</v>
      </c>
    </row>
    <row r="3" spans="2:13" x14ac:dyDescent="0.2">
      <c r="B3" s="2" t="s">
        <v>0</v>
      </c>
      <c r="E3" s="3" t="s">
        <v>116</v>
      </c>
      <c r="F3" s="3" t="s">
        <v>141</v>
      </c>
      <c r="H3" s="3"/>
    </row>
    <row r="4" spans="2:13" x14ac:dyDescent="0.2">
      <c r="M4" s="4"/>
    </row>
    <row r="5" spans="2:13" ht="15" x14ac:dyDescent="0.25">
      <c r="B5" s="5" t="s">
        <v>3</v>
      </c>
      <c r="E5" s="6">
        <f>E7-E6</f>
        <v>14106</v>
      </c>
      <c r="F5" s="6">
        <f>F7-F6</f>
        <v>12131</v>
      </c>
      <c r="H5" s="7"/>
      <c r="M5" s="4"/>
    </row>
    <row r="6" spans="2:13" ht="15" x14ac:dyDescent="0.25">
      <c r="B6" s="2" t="s">
        <v>63</v>
      </c>
      <c r="E6" s="6">
        <v>0</v>
      </c>
      <c r="F6" s="6">
        <v>46</v>
      </c>
      <c r="H6" s="7"/>
      <c r="M6" s="4"/>
    </row>
    <row r="7" spans="2:13" ht="15" x14ac:dyDescent="0.25">
      <c r="B7" s="5" t="s">
        <v>33</v>
      </c>
      <c r="E7" s="9">
        <v>14106</v>
      </c>
      <c r="F7" s="9">
        <v>12177</v>
      </c>
      <c r="H7" s="7"/>
    </row>
    <row r="8" spans="2:13" ht="15" x14ac:dyDescent="0.25">
      <c r="B8" s="2" t="s">
        <v>5</v>
      </c>
      <c r="E8" s="6">
        <v>-310</v>
      </c>
      <c r="F8" s="6">
        <v>-2</v>
      </c>
      <c r="H8" s="7"/>
    </row>
    <row r="9" spans="2:13" ht="15" x14ac:dyDescent="0.25">
      <c r="B9" s="5" t="s">
        <v>6</v>
      </c>
      <c r="E9" s="6">
        <f>E7+E8</f>
        <v>13796</v>
      </c>
      <c r="F9" s="6">
        <v>12175</v>
      </c>
      <c r="H9" s="7"/>
    </row>
    <row r="10" spans="2:13" ht="15" x14ac:dyDescent="0.25">
      <c r="B10" s="2" t="s">
        <v>7</v>
      </c>
      <c r="E10" s="6">
        <v>-7152</v>
      </c>
      <c r="F10" s="6">
        <v>-5634</v>
      </c>
      <c r="H10" s="7"/>
      <c r="M10" s="4"/>
    </row>
    <row r="11" spans="2:13" ht="15" x14ac:dyDescent="0.25">
      <c r="B11" s="2" t="s">
        <v>8</v>
      </c>
      <c r="E11" s="8">
        <v>-8</v>
      </c>
      <c r="F11" s="8">
        <v>-19</v>
      </c>
      <c r="H11" s="7"/>
      <c r="M11" s="4"/>
    </row>
    <row r="12" spans="2:13" ht="15" x14ac:dyDescent="0.25">
      <c r="B12" s="5" t="s">
        <v>9</v>
      </c>
      <c r="E12" s="6">
        <v>6636</v>
      </c>
      <c r="F12" s="6">
        <v>6523</v>
      </c>
      <c r="H12" s="7"/>
    </row>
    <row r="13" spans="2:13" ht="15" x14ac:dyDescent="0.25">
      <c r="B13" s="2" t="s">
        <v>10</v>
      </c>
      <c r="E13" s="6">
        <f>E8</f>
        <v>-310</v>
      </c>
      <c r="F13" s="6">
        <f>F8</f>
        <v>-2</v>
      </c>
      <c r="H13" s="7"/>
    </row>
    <row r="14" spans="2:13" ht="15" x14ac:dyDescent="0.25">
      <c r="B14" s="5" t="s">
        <v>11</v>
      </c>
      <c r="E14" s="6">
        <f>E11</f>
        <v>-8</v>
      </c>
      <c r="F14" s="6">
        <f>F11</f>
        <v>-19</v>
      </c>
      <c r="H14" s="7"/>
      <c r="M14" s="4"/>
    </row>
    <row r="15" spans="2:13" ht="15" x14ac:dyDescent="0.25">
      <c r="B15" s="5" t="s">
        <v>12</v>
      </c>
      <c r="E15" s="6">
        <f>E12-E13-E14</f>
        <v>6954</v>
      </c>
      <c r="F15" s="6">
        <f>F12-F13-F14</f>
        <v>6544</v>
      </c>
      <c r="H15" s="7"/>
    </row>
    <row r="16" spans="2:13" ht="15" x14ac:dyDescent="0.25">
      <c r="B16" s="2" t="s">
        <v>57</v>
      </c>
      <c r="E16" s="6">
        <v>0</v>
      </c>
      <c r="F16" s="6">
        <f>F6</f>
        <v>46</v>
      </c>
      <c r="H16" s="7"/>
    </row>
    <row r="17" spans="1:17" ht="15" x14ac:dyDescent="0.25">
      <c r="B17" s="5" t="s">
        <v>14</v>
      </c>
      <c r="E17" s="6">
        <f>E15-E16</f>
        <v>6954</v>
      </c>
      <c r="F17" s="6">
        <f>F15-F16</f>
        <v>6498</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3.5" thickBot="1" x14ac:dyDescent="0.25">
      <c r="B21" s="13"/>
      <c r="C21" s="13"/>
      <c r="D21" s="13"/>
      <c r="E21" s="13"/>
      <c r="F21" s="13"/>
      <c r="G21" s="13"/>
      <c r="H21" s="13"/>
      <c r="I21" s="13"/>
      <c r="J21" s="13"/>
      <c r="K21" s="13"/>
      <c r="L21" s="13"/>
    </row>
    <row r="22" spans="1:17" ht="15.75" x14ac:dyDescent="0.25">
      <c r="B22" s="14" t="s">
        <v>142</v>
      </c>
      <c r="C22" s="15"/>
      <c r="D22" s="15"/>
      <c r="E22" s="15"/>
      <c r="F22" s="15"/>
      <c r="G22" s="15"/>
      <c r="H22" s="15"/>
      <c r="I22" s="16"/>
      <c r="J22" s="4"/>
      <c r="K22" s="4"/>
      <c r="L22" s="4"/>
    </row>
    <row r="23" spans="1:17" ht="14.25" x14ac:dyDescent="0.2">
      <c r="B23" s="17"/>
      <c r="F23" s="18" t="s">
        <v>143</v>
      </c>
      <c r="H23" s="19" t="s">
        <v>144</v>
      </c>
      <c r="I23" s="20"/>
      <c r="J23" s="4"/>
      <c r="K23" s="4"/>
      <c r="L23" s="4"/>
    </row>
    <row r="24" spans="1:17" x14ac:dyDescent="0.2">
      <c r="B24" s="21" t="s">
        <v>145</v>
      </c>
      <c r="F24" s="22" t="s">
        <v>146</v>
      </c>
      <c r="H24" s="31">
        <v>1.7999999999999999E-2</v>
      </c>
      <c r="I24" s="24"/>
      <c r="J24" s="4"/>
      <c r="K24" s="4"/>
      <c r="L24" s="4"/>
    </row>
    <row r="25" spans="1:17" x14ac:dyDescent="0.2">
      <c r="B25" s="21" t="s">
        <v>147</v>
      </c>
      <c r="F25" s="5" t="s">
        <v>148</v>
      </c>
      <c r="H25" s="31">
        <v>2.5999999999999999E-2</v>
      </c>
      <c r="I25" s="24"/>
      <c r="J25" s="4"/>
      <c r="K25" s="4"/>
      <c r="L25" s="4"/>
    </row>
    <row r="26" spans="1:17" x14ac:dyDescent="0.2">
      <c r="B26" s="44" t="s">
        <v>149</v>
      </c>
      <c r="F26" s="5" t="s">
        <v>131</v>
      </c>
      <c r="H26" s="45">
        <v>9.9000000000000005E-2</v>
      </c>
      <c r="I26" s="24"/>
      <c r="J26" s="4"/>
      <c r="K26" s="4"/>
      <c r="L26" s="4"/>
    </row>
    <row r="27" spans="1:17" ht="18.75" customHeight="1" x14ac:dyDescent="0.2">
      <c r="B27" s="25" t="s">
        <v>83</v>
      </c>
      <c r="G27" s="26"/>
      <c r="I27" s="27"/>
      <c r="J27" s="4"/>
      <c r="K27" s="4"/>
      <c r="L27" s="4"/>
    </row>
    <row r="28" spans="1:17" ht="13.5" thickBot="1" x14ac:dyDescent="0.25">
      <c r="B28" s="28"/>
      <c r="C28" s="29"/>
      <c r="D28" s="29"/>
      <c r="E28" s="29"/>
      <c r="F28" s="29"/>
      <c r="G28" s="29"/>
      <c r="H28" s="29"/>
      <c r="I28" s="30"/>
      <c r="J28" s="4"/>
      <c r="K28" s="4"/>
      <c r="L28" s="4"/>
    </row>
    <row r="29" spans="1:17" x14ac:dyDescent="0.2">
      <c r="B29" s="4"/>
    </row>
    <row r="31" spans="1:17" x14ac:dyDescent="0.2">
      <c r="E31" s="46" t="s">
        <v>76</v>
      </c>
    </row>
  </sheetData>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14999847407452621"/>
  </sheetPr>
  <dimension ref="A2:Q32"/>
  <sheetViews>
    <sheetView showGridLines="0" zoomScale="130" zoomScaleNormal="13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24" style="2" customWidth="1"/>
    <col min="7" max="7" width="19.57031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150</v>
      </c>
    </row>
    <row r="3" spans="2:13" x14ac:dyDescent="0.2">
      <c r="B3" s="2" t="s">
        <v>0</v>
      </c>
      <c r="E3" s="3" t="s">
        <v>120</v>
      </c>
      <c r="F3" s="3" t="s">
        <v>151</v>
      </c>
      <c r="H3" s="3"/>
    </row>
    <row r="4" spans="2:13" x14ac:dyDescent="0.2">
      <c r="M4" s="4"/>
    </row>
    <row r="5" spans="2:13" ht="15" x14ac:dyDescent="0.25">
      <c r="B5" s="5" t="s">
        <v>3</v>
      </c>
      <c r="E5" s="6">
        <f>E7-E6</f>
        <v>11776</v>
      </c>
      <c r="F5" s="6">
        <f>F7-F6</f>
        <v>10125</v>
      </c>
      <c r="H5" s="7"/>
      <c r="M5" s="4"/>
    </row>
    <row r="6" spans="2:13" ht="15" x14ac:dyDescent="0.25">
      <c r="B6" s="2" t="s">
        <v>63</v>
      </c>
      <c r="E6" s="6">
        <v>106</v>
      </c>
      <c r="F6" s="6">
        <v>0</v>
      </c>
      <c r="H6" s="7"/>
      <c r="M6" s="4"/>
    </row>
    <row r="7" spans="2:13" ht="15" x14ac:dyDescent="0.25">
      <c r="B7" s="5" t="s">
        <v>33</v>
      </c>
      <c r="E7" s="9">
        <v>11882</v>
      </c>
      <c r="F7" s="9">
        <v>10125</v>
      </c>
      <c r="H7" s="7"/>
    </row>
    <row r="8" spans="2:13" ht="15" x14ac:dyDescent="0.25">
      <c r="B8" s="2" t="s">
        <v>5</v>
      </c>
      <c r="E8" s="6">
        <v>-212</v>
      </c>
      <c r="F8" s="6">
        <v>-2385</v>
      </c>
      <c r="H8" s="7"/>
    </row>
    <row r="9" spans="2:13" ht="15" x14ac:dyDescent="0.25">
      <c r="B9" s="5" t="s">
        <v>6</v>
      </c>
      <c r="E9" s="6">
        <f>E7+E8</f>
        <v>11670</v>
      </c>
      <c r="F9" s="6">
        <f>F7+F8</f>
        <v>7740</v>
      </c>
      <c r="H9" s="7"/>
    </row>
    <row r="10" spans="2:13" ht="15" x14ac:dyDescent="0.25">
      <c r="B10" s="2" t="s">
        <v>7</v>
      </c>
      <c r="E10" s="6">
        <v>-5491</v>
      </c>
      <c r="F10" s="6">
        <v>-4153</v>
      </c>
      <c r="H10" s="7"/>
      <c r="M10" s="4"/>
    </row>
    <row r="11" spans="2:13" ht="15" x14ac:dyDescent="0.25">
      <c r="B11" s="2" t="s">
        <v>8</v>
      </c>
      <c r="E11" s="8">
        <v>-63</v>
      </c>
      <c r="F11" s="8">
        <v>-36</v>
      </c>
      <c r="H11" s="7"/>
      <c r="M11" s="4"/>
    </row>
    <row r="12" spans="2:13" ht="15" x14ac:dyDescent="0.25">
      <c r="B12" s="5" t="s">
        <v>9</v>
      </c>
      <c r="E12" s="6">
        <v>6116</v>
      </c>
      <c r="F12" s="6">
        <v>3550</v>
      </c>
      <c r="H12" s="7"/>
    </row>
    <row r="13" spans="2:13" ht="15" x14ac:dyDescent="0.25">
      <c r="B13" s="2" t="s">
        <v>10</v>
      </c>
      <c r="E13" s="6">
        <f>E8</f>
        <v>-212</v>
      </c>
      <c r="F13" s="6">
        <f>F8</f>
        <v>-2385</v>
      </c>
      <c r="H13" s="7"/>
    </row>
    <row r="14" spans="2:13" ht="15" x14ac:dyDescent="0.25">
      <c r="B14" s="5" t="s">
        <v>11</v>
      </c>
      <c r="E14" s="6">
        <f>E11</f>
        <v>-63</v>
      </c>
      <c r="F14" s="6">
        <f>F11</f>
        <v>-36</v>
      </c>
      <c r="H14" s="7"/>
      <c r="M14" s="4"/>
    </row>
    <row r="15" spans="2:13" ht="15" x14ac:dyDescent="0.25">
      <c r="B15" s="5" t="s">
        <v>12</v>
      </c>
      <c r="E15" s="6">
        <f>E12-E13-E14</f>
        <v>6391</v>
      </c>
      <c r="F15" s="6">
        <f>F12-F13-F14</f>
        <v>5971</v>
      </c>
      <c r="H15" s="7"/>
    </row>
    <row r="16" spans="2:13" ht="15" x14ac:dyDescent="0.25">
      <c r="B16" s="2" t="s">
        <v>57</v>
      </c>
      <c r="E16" s="6">
        <f>+E6</f>
        <v>106</v>
      </c>
      <c r="F16" s="6">
        <f>F6</f>
        <v>0</v>
      </c>
      <c r="H16" s="7"/>
    </row>
    <row r="17" spans="1:17" ht="15" x14ac:dyDescent="0.25">
      <c r="B17" s="5" t="s">
        <v>14</v>
      </c>
      <c r="E17" s="6">
        <f>E15-E16</f>
        <v>6285</v>
      </c>
      <c r="F17" s="6">
        <f>F15-F16</f>
        <v>5971</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3.5" thickBot="1" x14ac:dyDescent="0.25">
      <c r="B21" s="13"/>
      <c r="C21" s="13"/>
      <c r="D21" s="13"/>
      <c r="E21" s="13"/>
      <c r="F21" s="13"/>
      <c r="G21" s="13"/>
      <c r="H21" s="13"/>
      <c r="I21" s="13"/>
      <c r="J21" s="13"/>
      <c r="K21" s="13"/>
      <c r="L21" s="13"/>
    </row>
    <row r="22" spans="1:17" ht="15.75" x14ac:dyDescent="0.25">
      <c r="B22" s="14" t="s">
        <v>142</v>
      </c>
      <c r="C22" s="15"/>
      <c r="D22" s="15"/>
      <c r="E22" s="15"/>
      <c r="F22" s="15"/>
      <c r="G22" s="21"/>
      <c r="I22" s="4"/>
      <c r="J22" s="4"/>
      <c r="K22" s="4"/>
      <c r="L22" s="4"/>
    </row>
    <row r="23" spans="1:17" ht="14.25" x14ac:dyDescent="0.2">
      <c r="B23" s="17"/>
      <c r="F23" s="18">
        <v>2020</v>
      </c>
      <c r="G23" s="36"/>
      <c r="J23" s="4"/>
      <c r="K23" s="4"/>
      <c r="L23" s="4"/>
    </row>
    <row r="24" spans="1:17" ht="14.25" x14ac:dyDescent="0.2">
      <c r="B24" s="21" t="s">
        <v>145</v>
      </c>
      <c r="F24" s="22" t="s">
        <v>110</v>
      </c>
      <c r="G24" s="37" t="s">
        <v>76</v>
      </c>
      <c r="H24" s="23"/>
      <c r="I24" s="38"/>
      <c r="J24" s="4"/>
      <c r="K24" s="4"/>
      <c r="L24" s="4"/>
    </row>
    <row r="25" spans="1:17" ht="14.25" x14ac:dyDescent="0.2">
      <c r="B25" s="21" t="s">
        <v>152</v>
      </c>
      <c r="F25" s="5" t="s">
        <v>153</v>
      </c>
      <c r="G25" s="39" t="s">
        <v>76</v>
      </c>
      <c r="H25" s="23"/>
      <c r="I25" s="38"/>
      <c r="J25" s="4"/>
      <c r="K25" s="4"/>
      <c r="L25" s="4"/>
    </row>
    <row r="26" spans="1:17" ht="14.25" x14ac:dyDescent="0.2">
      <c r="B26" s="21" t="s">
        <v>111</v>
      </c>
      <c r="F26" s="5" t="s">
        <v>154</v>
      </c>
      <c r="G26" s="40" t="s">
        <v>76</v>
      </c>
      <c r="H26" s="23"/>
      <c r="I26" s="38"/>
      <c r="J26" s="4"/>
      <c r="K26" s="4"/>
      <c r="L26" s="4"/>
    </row>
    <row r="27" spans="1:17" ht="18.75" customHeight="1" x14ac:dyDescent="0.2">
      <c r="B27" s="25" t="s">
        <v>83</v>
      </c>
      <c r="G27" s="41"/>
      <c r="I27" s="42"/>
      <c r="J27" s="4"/>
      <c r="K27" s="4"/>
      <c r="L27" s="4"/>
    </row>
    <row r="28" spans="1:17" ht="13.5" thickBot="1" x14ac:dyDescent="0.25">
      <c r="B28" s="35" t="s">
        <v>76</v>
      </c>
      <c r="C28" s="29"/>
      <c r="D28" s="29"/>
      <c r="E28" s="29"/>
      <c r="F28" s="29"/>
      <c r="G28" s="43"/>
      <c r="H28" s="4"/>
      <c r="I28" s="4"/>
      <c r="J28" s="4"/>
      <c r="K28" s="4"/>
      <c r="L28" s="4"/>
    </row>
    <row r="29" spans="1:17" x14ac:dyDescent="0.2">
      <c r="B29" s="4"/>
    </row>
    <row r="30" spans="1:17" x14ac:dyDescent="0.2">
      <c r="B30" s="5"/>
    </row>
    <row r="31" spans="1:17" x14ac:dyDescent="0.2">
      <c r="B31" s="33"/>
    </row>
    <row r="32" spans="1:17" x14ac:dyDescent="0.2">
      <c r="B32" s="33"/>
    </row>
  </sheetData>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14999847407452621"/>
  </sheetPr>
  <dimension ref="A2:Q32"/>
  <sheetViews>
    <sheetView showGridLines="0" zoomScale="110" zoomScaleNormal="11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24" style="2" customWidth="1"/>
    <col min="7" max="7" width="19.57031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155</v>
      </c>
    </row>
    <row r="3" spans="2:13" x14ac:dyDescent="0.2">
      <c r="B3" s="2" t="s">
        <v>0</v>
      </c>
      <c r="E3" s="3" t="s">
        <v>122</v>
      </c>
      <c r="F3" s="3" t="s">
        <v>156</v>
      </c>
      <c r="H3" s="3"/>
    </row>
    <row r="4" spans="2:13" x14ac:dyDescent="0.2">
      <c r="M4" s="4"/>
    </row>
    <row r="5" spans="2:13" ht="15" x14ac:dyDescent="0.25">
      <c r="B5" s="5" t="s">
        <v>3</v>
      </c>
      <c r="E5" s="6">
        <f>E7-E6</f>
        <v>12069</v>
      </c>
      <c r="F5" s="6">
        <f>F7-F6</f>
        <v>11686</v>
      </c>
      <c r="H5" s="7"/>
      <c r="M5" s="4"/>
    </row>
    <row r="6" spans="2:13" ht="15" x14ac:dyDescent="0.25">
      <c r="B6" s="2" t="s">
        <v>63</v>
      </c>
      <c r="E6" s="6">
        <f>-(110-98-35)</f>
        <v>23</v>
      </c>
      <c r="F6" s="6">
        <v>724</v>
      </c>
      <c r="H6" s="7"/>
      <c r="M6" s="4"/>
    </row>
    <row r="7" spans="2:13" ht="15" x14ac:dyDescent="0.25">
      <c r="B7" s="5" t="s">
        <v>33</v>
      </c>
      <c r="E7" s="9">
        <v>12092</v>
      </c>
      <c r="F7" s="9">
        <v>12410</v>
      </c>
      <c r="H7" s="7"/>
    </row>
    <row r="8" spans="2:13" ht="15" x14ac:dyDescent="0.25">
      <c r="B8" s="2" t="s">
        <v>5</v>
      </c>
      <c r="E8" s="6">
        <v>-138</v>
      </c>
      <c r="F8" s="6">
        <v>-261</v>
      </c>
      <c r="H8" s="7"/>
    </row>
    <row r="9" spans="2:13" ht="15" x14ac:dyDescent="0.25">
      <c r="B9" s="5" t="s">
        <v>6</v>
      </c>
      <c r="E9" s="6">
        <f>E7+E8</f>
        <v>11954</v>
      </c>
      <c r="F9" s="6">
        <f>F7+F8</f>
        <v>12149</v>
      </c>
      <c r="H9" s="7"/>
    </row>
    <row r="10" spans="2:13" ht="15" x14ac:dyDescent="0.25">
      <c r="B10" s="2" t="s">
        <v>7</v>
      </c>
      <c r="E10" s="6">
        <v>-5068</v>
      </c>
      <c r="F10" s="6">
        <v>-5410</v>
      </c>
      <c r="H10" s="7"/>
      <c r="M10" s="4"/>
    </row>
    <row r="11" spans="2:13" ht="15" x14ac:dyDescent="0.25">
      <c r="B11" s="2" t="s">
        <v>8</v>
      </c>
      <c r="E11" s="8">
        <v>19</v>
      </c>
      <c r="F11" s="8">
        <v>-19</v>
      </c>
      <c r="H11" s="7"/>
      <c r="M11" s="4"/>
    </row>
    <row r="12" spans="2:13" ht="15" x14ac:dyDescent="0.25">
      <c r="B12" s="5" t="s">
        <v>9</v>
      </c>
      <c r="E12" s="6">
        <v>6858</v>
      </c>
      <c r="F12" s="6">
        <v>6720</v>
      </c>
      <c r="H12" s="7"/>
    </row>
    <row r="13" spans="2:13" ht="15" x14ac:dyDescent="0.25">
      <c r="B13" s="2" t="s">
        <v>10</v>
      </c>
      <c r="E13" s="6">
        <f>E8</f>
        <v>-138</v>
      </c>
      <c r="F13" s="6">
        <f>F8</f>
        <v>-261</v>
      </c>
      <c r="H13" s="7"/>
    </row>
    <row r="14" spans="2:13" ht="15" x14ac:dyDescent="0.25">
      <c r="B14" s="5" t="s">
        <v>11</v>
      </c>
      <c r="E14" s="6">
        <f>E11</f>
        <v>19</v>
      </c>
      <c r="F14" s="6">
        <f>F11</f>
        <v>-19</v>
      </c>
      <c r="H14" s="7"/>
      <c r="M14" s="4"/>
    </row>
    <row r="15" spans="2:13" ht="15" x14ac:dyDescent="0.25">
      <c r="B15" s="5" t="s">
        <v>12</v>
      </c>
      <c r="E15" s="6">
        <f>E12-E13-E14</f>
        <v>6977</v>
      </c>
      <c r="F15" s="6">
        <f>F12-F13-F14</f>
        <v>7000</v>
      </c>
      <c r="H15" s="7"/>
    </row>
    <row r="16" spans="2:13" ht="15" x14ac:dyDescent="0.25">
      <c r="B16" s="2" t="s">
        <v>57</v>
      </c>
      <c r="E16" s="6">
        <f>+E6</f>
        <v>23</v>
      </c>
      <c r="F16" s="6">
        <f>F6</f>
        <v>724</v>
      </c>
      <c r="H16" s="7"/>
    </row>
    <row r="17" spans="1:17" ht="15" x14ac:dyDescent="0.25">
      <c r="B17" s="5" t="s">
        <v>14</v>
      </c>
      <c r="E17" s="6">
        <f>E15-E16</f>
        <v>6954</v>
      </c>
      <c r="F17" s="6">
        <f>F15-F16</f>
        <v>6276</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3.5" thickBot="1" x14ac:dyDescent="0.25">
      <c r="B21" s="13"/>
      <c r="C21" s="13"/>
      <c r="D21" s="13"/>
      <c r="E21" s="13"/>
      <c r="F21" s="13"/>
      <c r="G21" s="13"/>
      <c r="H21" s="13"/>
      <c r="I21" s="13"/>
      <c r="J21" s="13"/>
      <c r="K21" s="13"/>
      <c r="L21" s="13"/>
    </row>
    <row r="22" spans="1:17" ht="15.75" x14ac:dyDescent="0.25">
      <c r="B22" s="14" t="s">
        <v>157</v>
      </c>
      <c r="C22" s="15"/>
      <c r="D22" s="15"/>
      <c r="E22" s="15"/>
      <c r="F22" s="15"/>
      <c r="G22" s="15"/>
      <c r="H22" s="15"/>
      <c r="I22" s="16"/>
      <c r="J22" s="4"/>
      <c r="K22" s="4"/>
      <c r="L22" s="4"/>
    </row>
    <row r="23" spans="1:17" ht="14.25" x14ac:dyDescent="0.2">
      <c r="B23" s="17"/>
      <c r="F23" s="18" t="s">
        <v>158</v>
      </c>
      <c r="G23" s="19" t="s">
        <v>159</v>
      </c>
      <c r="I23" s="20"/>
      <c r="J23" s="4"/>
      <c r="K23" s="4"/>
      <c r="L23" s="4"/>
    </row>
    <row r="24" spans="1:17" ht="14.25" x14ac:dyDescent="0.2">
      <c r="B24" s="21" t="s">
        <v>145</v>
      </c>
      <c r="F24" s="22" t="s">
        <v>160</v>
      </c>
      <c r="G24" s="31">
        <v>-4.0000000000000001E-3</v>
      </c>
      <c r="H24" s="23"/>
      <c r="I24" s="24"/>
      <c r="J24" s="4"/>
      <c r="K24" s="4"/>
      <c r="L24" s="4"/>
    </row>
    <row r="25" spans="1:17" ht="14.25" x14ac:dyDescent="0.2">
      <c r="B25" s="21" t="s">
        <v>152</v>
      </c>
      <c r="F25" s="5" t="s">
        <v>126</v>
      </c>
      <c r="G25" s="34" t="s">
        <v>161</v>
      </c>
      <c r="H25" s="23"/>
      <c r="I25" s="24"/>
      <c r="J25" s="4"/>
      <c r="K25" s="4"/>
      <c r="L25" s="4"/>
    </row>
    <row r="26" spans="1:17" ht="14.25" x14ac:dyDescent="0.2">
      <c r="B26" s="21" t="s">
        <v>162</v>
      </c>
      <c r="F26" s="5" t="s">
        <v>163</v>
      </c>
      <c r="G26" s="32" t="s">
        <v>164</v>
      </c>
      <c r="H26" s="23"/>
      <c r="I26" s="24"/>
      <c r="J26" s="4"/>
      <c r="K26" s="4"/>
      <c r="L26" s="4"/>
    </row>
    <row r="27" spans="1:17" ht="18.75" customHeight="1" x14ac:dyDescent="0.2">
      <c r="B27" s="25" t="s">
        <v>83</v>
      </c>
      <c r="G27" s="26"/>
      <c r="I27" s="27"/>
      <c r="J27" s="4"/>
      <c r="K27" s="4"/>
      <c r="L27" s="4"/>
    </row>
    <row r="28" spans="1:17" ht="13.5" thickBot="1" x14ac:dyDescent="0.25">
      <c r="B28" s="35" t="s">
        <v>165</v>
      </c>
      <c r="C28" s="29"/>
      <c r="D28" s="29"/>
      <c r="E28" s="29"/>
      <c r="F28" s="29"/>
      <c r="G28" s="29"/>
      <c r="H28" s="29"/>
      <c r="I28" s="30"/>
      <c r="J28" s="4"/>
      <c r="K28" s="4"/>
      <c r="L28" s="4"/>
    </row>
    <row r="29" spans="1:17" x14ac:dyDescent="0.2">
      <c r="B29" s="4"/>
    </row>
    <row r="30" spans="1:17" x14ac:dyDescent="0.2">
      <c r="B30" s="5" t="s">
        <v>166</v>
      </c>
    </row>
    <row r="31" spans="1:17" x14ac:dyDescent="0.2">
      <c r="B31" s="33" t="s">
        <v>167</v>
      </c>
    </row>
    <row r="32" spans="1:17" x14ac:dyDescent="0.2">
      <c r="B32" s="33" t="s">
        <v>168</v>
      </c>
    </row>
  </sheetData>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14999847407452621"/>
  </sheetPr>
  <dimension ref="A2:Q32"/>
  <sheetViews>
    <sheetView showGridLines="0" zoomScale="110" zoomScaleNormal="11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8.85546875" style="2" customWidth="1"/>
    <col min="6" max="6" width="24" style="2" customWidth="1"/>
    <col min="7" max="7" width="19.57031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169</v>
      </c>
    </row>
    <row r="3" spans="2:13" x14ac:dyDescent="0.2">
      <c r="B3" s="2" t="s">
        <v>0</v>
      </c>
      <c r="E3" s="3" t="s">
        <v>135</v>
      </c>
      <c r="F3" s="3" t="s">
        <v>170</v>
      </c>
      <c r="H3" s="3"/>
    </row>
    <row r="4" spans="2:13" x14ac:dyDescent="0.2">
      <c r="M4" s="4"/>
    </row>
    <row r="5" spans="2:13" ht="15" x14ac:dyDescent="0.25">
      <c r="B5" s="5" t="s">
        <v>3</v>
      </c>
      <c r="E5" s="6">
        <f>E7-E6</f>
        <v>11185</v>
      </c>
      <c r="F5" s="6">
        <f>F7-F6</f>
        <v>11337</v>
      </c>
      <c r="H5" s="7"/>
      <c r="M5" s="4"/>
    </row>
    <row r="6" spans="2:13" ht="15" x14ac:dyDescent="0.25">
      <c r="B6" s="2" t="s">
        <v>63</v>
      </c>
      <c r="E6" s="6">
        <f>-(299-130-71)</f>
        <v>-98</v>
      </c>
      <c r="F6" s="6">
        <v>0</v>
      </c>
      <c r="H6" s="7"/>
      <c r="M6" s="4"/>
    </row>
    <row r="7" spans="2:13" ht="15" x14ac:dyDescent="0.25">
      <c r="B7" s="5" t="s">
        <v>33</v>
      </c>
      <c r="E7" s="9">
        <v>11087</v>
      </c>
      <c r="F7" s="9">
        <v>11337</v>
      </c>
      <c r="H7" s="7"/>
    </row>
    <row r="8" spans="2:13" ht="15" x14ac:dyDescent="0.25">
      <c r="B8" s="2" t="s">
        <v>5</v>
      </c>
      <c r="E8" s="6">
        <v>23</v>
      </c>
      <c r="F8" s="6">
        <v>-375</v>
      </c>
      <c r="H8" s="7"/>
    </row>
    <row r="9" spans="2:13" ht="15" x14ac:dyDescent="0.25">
      <c r="B9" s="5" t="s">
        <v>6</v>
      </c>
      <c r="E9" s="6">
        <f>E7+E8</f>
        <v>11110</v>
      </c>
      <c r="F9" s="6">
        <f>F7+F8</f>
        <v>10962</v>
      </c>
      <c r="H9" s="7"/>
    </row>
    <row r="10" spans="2:13" ht="15" x14ac:dyDescent="0.25">
      <c r="B10" s="2" t="s">
        <v>7</v>
      </c>
      <c r="E10" s="6">
        <v>-4628</v>
      </c>
      <c r="F10" s="6">
        <v>-5173</v>
      </c>
      <c r="H10" s="7"/>
      <c r="M10" s="4"/>
    </row>
    <row r="11" spans="2:13" ht="15" x14ac:dyDescent="0.25">
      <c r="B11" s="2" t="s">
        <v>8</v>
      </c>
      <c r="E11" s="8">
        <v>17</v>
      </c>
      <c r="F11" s="8">
        <v>0</v>
      </c>
      <c r="H11" s="7"/>
      <c r="M11" s="4"/>
    </row>
    <row r="12" spans="2:13" ht="15" x14ac:dyDescent="0.25">
      <c r="B12" s="5" t="s">
        <v>9</v>
      </c>
      <c r="E12" s="6">
        <v>6499</v>
      </c>
      <c r="F12" s="6">
        <v>5790</v>
      </c>
      <c r="H12" s="7"/>
    </row>
    <row r="13" spans="2:13" ht="15" x14ac:dyDescent="0.25">
      <c r="B13" s="2" t="s">
        <v>10</v>
      </c>
      <c r="E13" s="6">
        <f>E8</f>
        <v>23</v>
      </c>
      <c r="F13" s="6">
        <f>F8</f>
        <v>-375</v>
      </c>
      <c r="H13" s="7"/>
    </row>
    <row r="14" spans="2:13" ht="15" x14ac:dyDescent="0.25">
      <c r="B14" s="5" t="s">
        <v>11</v>
      </c>
      <c r="E14" s="6">
        <f>E11</f>
        <v>17</v>
      </c>
      <c r="F14" s="6">
        <f>F11</f>
        <v>0</v>
      </c>
      <c r="H14" s="7"/>
      <c r="M14" s="4"/>
    </row>
    <row r="15" spans="2:13" ht="15" x14ac:dyDescent="0.25">
      <c r="B15" s="5" t="s">
        <v>12</v>
      </c>
      <c r="E15" s="6">
        <f>E12-E13-E14</f>
        <v>6459</v>
      </c>
      <c r="F15" s="6">
        <f>F12-F13-F14</f>
        <v>6165</v>
      </c>
      <c r="H15" s="7"/>
    </row>
    <row r="16" spans="2:13" ht="15" x14ac:dyDescent="0.25">
      <c r="B16" s="2" t="s">
        <v>57</v>
      </c>
      <c r="E16" s="6">
        <f>+E6</f>
        <v>-98</v>
      </c>
      <c r="F16" s="6">
        <f>F6</f>
        <v>0</v>
      </c>
      <c r="H16" s="7"/>
    </row>
    <row r="17" spans="1:17" ht="15" x14ac:dyDescent="0.25">
      <c r="B17" s="5" t="s">
        <v>14</v>
      </c>
      <c r="E17" s="6">
        <f>E15-E16</f>
        <v>6557</v>
      </c>
      <c r="F17" s="6">
        <f>F15-F16</f>
        <v>6165</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3.5" thickBot="1" x14ac:dyDescent="0.25">
      <c r="B21" s="13"/>
      <c r="C21" s="13"/>
      <c r="D21" s="13"/>
      <c r="E21" s="13"/>
      <c r="F21" s="13"/>
      <c r="G21" s="13"/>
      <c r="H21" s="13"/>
      <c r="I21" s="13"/>
      <c r="J21" s="13"/>
      <c r="K21" s="13"/>
      <c r="L21" s="13"/>
    </row>
    <row r="22" spans="1:17" ht="15.75" x14ac:dyDescent="0.25">
      <c r="B22" s="14" t="s">
        <v>157</v>
      </c>
      <c r="C22" s="15"/>
      <c r="D22" s="15"/>
      <c r="E22" s="15"/>
      <c r="F22" s="15"/>
      <c r="G22" s="15"/>
      <c r="H22" s="15"/>
      <c r="I22" s="16"/>
      <c r="J22" s="4"/>
      <c r="K22" s="4"/>
      <c r="L22" s="4"/>
    </row>
    <row r="23" spans="1:17" ht="14.25" x14ac:dyDescent="0.2">
      <c r="B23" s="17"/>
      <c r="F23" s="18">
        <v>2019</v>
      </c>
      <c r="G23" s="19" t="s">
        <v>171</v>
      </c>
      <c r="I23" s="20"/>
      <c r="J23" s="4"/>
      <c r="K23" s="4"/>
      <c r="L23" s="4"/>
    </row>
    <row r="24" spans="1:17" ht="14.25" x14ac:dyDescent="0.2">
      <c r="B24" s="21" t="s">
        <v>145</v>
      </c>
      <c r="F24" s="22" t="s">
        <v>160</v>
      </c>
      <c r="G24" s="31">
        <v>-4.0000000000000001E-3</v>
      </c>
      <c r="H24" s="23"/>
      <c r="I24" s="24"/>
      <c r="J24" s="4"/>
      <c r="K24" s="4"/>
      <c r="L24" s="4"/>
    </row>
    <row r="25" spans="1:17" ht="14.25" x14ac:dyDescent="0.2">
      <c r="B25" s="21" t="s">
        <v>147</v>
      </c>
      <c r="F25" s="5" t="s">
        <v>126</v>
      </c>
      <c r="G25" s="31">
        <v>-3.6999999999999998E-2</v>
      </c>
      <c r="H25" s="23"/>
      <c r="I25" s="24"/>
      <c r="J25" s="4"/>
      <c r="K25" s="4"/>
      <c r="L25" s="4"/>
    </row>
    <row r="26" spans="1:17" ht="14.25" x14ac:dyDescent="0.2">
      <c r="B26" s="21" t="s">
        <v>162</v>
      </c>
      <c r="F26" s="5" t="s">
        <v>163</v>
      </c>
      <c r="G26" s="32" t="s">
        <v>172</v>
      </c>
      <c r="H26" s="23"/>
      <c r="I26" s="24"/>
      <c r="J26" s="4"/>
      <c r="K26" s="4"/>
      <c r="L26" s="4"/>
    </row>
    <row r="27" spans="1:17" ht="18.75" customHeight="1" x14ac:dyDescent="0.2">
      <c r="B27" s="25" t="s">
        <v>83</v>
      </c>
      <c r="G27" s="26"/>
      <c r="I27" s="27"/>
      <c r="J27" s="4"/>
      <c r="K27" s="4"/>
      <c r="L27" s="4"/>
    </row>
    <row r="28" spans="1:17" ht="13.5" thickBot="1" x14ac:dyDescent="0.25">
      <c r="B28" s="28"/>
      <c r="C28" s="29"/>
      <c r="D28" s="29"/>
      <c r="E28" s="29"/>
      <c r="F28" s="29"/>
      <c r="G28" s="29"/>
      <c r="H28" s="29"/>
      <c r="I28" s="30"/>
      <c r="J28" s="4"/>
      <c r="K28" s="4"/>
      <c r="L28" s="4"/>
    </row>
    <row r="29" spans="1:17" x14ac:dyDescent="0.2">
      <c r="B29" s="4"/>
    </row>
    <row r="30" spans="1:17" x14ac:dyDescent="0.2">
      <c r="B30" s="5" t="s">
        <v>166</v>
      </c>
    </row>
    <row r="31" spans="1:17" x14ac:dyDescent="0.2">
      <c r="B31" s="33" t="s">
        <v>173</v>
      </c>
    </row>
    <row r="32" spans="1:17" x14ac:dyDescent="0.2">
      <c r="B32" s="33" t="s">
        <v>174</v>
      </c>
    </row>
  </sheetData>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2:Q29"/>
  <sheetViews>
    <sheetView showGridLines="0" zoomScale="110" zoomScaleNormal="110" workbookViewId="0"/>
  </sheetViews>
  <sheetFormatPr defaultColWidth="9.140625" defaultRowHeight="12.75" x14ac:dyDescent="0.2"/>
  <cols>
    <col min="1" max="1" width="3.42578125" style="2" customWidth="1"/>
    <col min="2" max="2" width="20.5703125" style="2" customWidth="1"/>
    <col min="3" max="3" width="9.140625" style="2"/>
    <col min="4" max="4" width="11.5703125" style="2" customWidth="1"/>
    <col min="5" max="5" width="14.5703125" style="2" customWidth="1"/>
    <col min="6" max="6" width="19.140625" style="2" customWidth="1"/>
    <col min="7" max="7" width="19.5703125" style="2" customWidth="1"/>
    <col min="8" max="8" width="14.140625" style="2" customWidth="1"/>
    <col min="9" max="9" width="18.42578125" style="2" customWidth="1"/>
    <col min="10" max="11" width="9.140625" style="2"/>
    <col min="12" max="12" width="27.85546875" style="2" customWidth="1"/>
    <col min="13" max="14" width="9.140625" style="2"/>
    <col min="15" max="15" width="6.42578125" style="2" customWidth="1"/>
    <col min="16" max="16384" width="9.140625" style="2"/>
  </cols>
  <sheetData>
    <row r="2" spans="2:13" ht="15.75" x14ac:dyDescent="0.25">
      <c r="B2" s="1" t="s">
        <v>175</v>
      </c>
    </row>
    <row r="3" spans="2:13" x14ac:dyDescent="0.2">
      <c r="B3" s="2" t="s">
        <v>0</v>
      </c>
      <c r="E3" s="3" t="s">
        <v>141</v>
      </c>
      <c r="F3" s="3" t="s">
        <v>176</v>
      </c>
      <c r="H3" s="3"/>
    </row>
    <row r="4" spans="2:13" x14ac:dyDescent="0.2">
      <c r="M4" s="4"/>
    </row>
    <row r="5" spans="2:13" ht="15" x14ac:dyDescent="0.25">
      <c r="B5" s="5" t="s">
        <v>3</v>
      </c>
      <c r="E5" s="6">
        <f>E7-E6</f>
        <v>11129</v>
      </c>
      <c r="F5" s="6">
        <f>F7-F6</f>
        <v>11407</v>
      </c>
      <c r="H5" s="7"/>
      <c r="M5" s="4"/>
    </row>
    <row r="6" spans="2:13" ht="15" x14ac:dyDescent="0.25">
      <c r="B6" s="2" t="s">
        <v>63</v>
      </c>
      <c r="E6" s="6">
        <f>46</f>
        <v>46</v>
      </c>
      <c r="F6" s="6">
        <v>-67</v>
      </c>
      <c r="H6" s="7"/>
      <c r="M6" s="4"/>
    </row>
    <row r="7" spans="2:13" ht="15" x14ac:dyDescent="0.25">
      <c r="B7" s="5" t="s">
        <v>33</v>
      </c>
      <c r="E7" s="9">
        <v>11175</v>
      </c>
      <c r="F7" s="9">
        <v>11340</v>
      </c>
      <c r="H7" s="7"/>
    </row>
    <row r="8" spans="2:13" ht="15" x14ac:dyDescent="0.25">
      <c r="B8" s="2" t="s">
        <v>5</v>
      </c>
      <c r="E8" s="6">
        <v>8</v>
      </c>
      <c r="F8" s="6">
        <v>-176</v>
      </c>
      <c r="H8" s="7"/>
    </row>
    <row r="9" spans="2:13" ht="15" x14ac:dyDescent="0.25">
      <c r="B9" s="5" t="s">
        <v>6</v>
      </c>
      <c r="E9" s="6">
        <f>E7+E8</f>
        <v>11183</v>
      </c>
      <c r="F9" s="6">
        <f>F7+F8</f>
        <v>11164</v>
      </c>
      <c r="H9" s="7"/>
    </row>
    <row r="10" spans="2:13" ht="15" x14ac:dyDescent="0.25">
      <c r="B10" s="2" t="s">
        <v>7</v>
      </c>
      <c r="E10" s="6">
        <v>-4507</v>
      </c>
      <c r="F10" s="6">
        <v>-5355</v>
      </c>
      <c r="H10" s="7"/>
      <c r="M10" s="4"/>
    </row>
    <row r="11" spans="2:13" ht="15" x14ac:dyDescent="0.25">
      <c r="B11" s="2" t="s">
        <v>8</v>
      </c>
      <c r="E11" s="8">
        <v>-19</v>
      </c>
      <c r="F11" s="8">
        <v>-1</v>
      </c>
      <c r="H11" s="7"/>
      <c r="M11" s="4"/>
    </row>
    <row r="12" spans="2:13" ht="15" x14ac:dyDescent="0.25">
      <c r="B12" s="5" t="s">
        <v>9</v>
      </c>
      <c r="E12" s="6">
        <v>6657</v>
      </c>
      <c r="F12" s="6">
        <v>5809</v>
      </c>
      <c r="H12" s="7"/>
    </row>
    <row r="13" spans="2:13" ht="15" x14ac:dyDescent="0.25">
      <c r="B13" s="2" t="s">
        <v>10</v>
      </c>
      <c r="E13" s="6">
        <f>E8</f>
        <v>8</v>
      </c>
      <c r="F13" s="6">
        <f>F8</f>
        <v>-176</v>
      </c>
      <c r="H13" s="7"/>
    </row>
    <row r="14" spans="2:13" ht="15" x14ac:dyDescent="0.25">
      <c r="B14" s="5" t="s">
        <v>11</v>
      </c>
      <c r="E14" s="6">
        <f>E11</f>
        <v>-19</v>
      </c>
      <c r="F14" s="6">
        <f>F11</f>
        <v>-1</v>
      </c>
      <c r="H14" s="7"/>
      <c r="M14" s="4"/>
    </row>
    <row r="15" spans="2:13" ht="15" x14ac:dyDescent="0.25">
      <c r="B15" s="5" t="s">
        <v>12</v>
      </c>
      <c r="E15" s="6">
        <f>E12-E13-E14</f>
        <v>6668</v>
      </c>
      <c r="F15" s="6">
        <f>F12-F13-F14</f>
        <v>5986</v>
      </c>
      <c r="H15" s="7"/>
    </row>
    <row r="16" spans="2:13" ht="15" x14ac:dyDescent="0.25">
      <c r="B16" s="2" t="s">
        <v>57</v>
      </c>
      <c r="E16" s="6">
        <f>46</f>
        <v>46</v>
      </c>
      <c r="F16" s="6">
        <f>F6</f>
        <v>-67</v>
      </c>
      <c r="H16" s="7"/>
    </row>
    <row r="17" spans="1:17" ht="15" x14ac:dyDescent="0.25">
      <c r="B17" s="5" t="s">
        <v>14</v>
      </c>
      <c r="E17" s="6">
        <f>E15-E16</f>
        <v>6622</v>
      </c>
      <c r="F17" s="6">
        <f>F15-F16</f>
        <v>6053</v>
      </c>
      <c r="H17" s="7"/>
    </row>
    <row r="19" spans="1:17" s="10" customFormat="1" ht="15" x14ac:dyDescent="0.2">
      <c r="A19" s="2"/>
      <c r="B19" s="2" t="s">
        <v>15</v>
      </c>
      <c r="C19" s="2"/>
      <c r="D19" s="2"/>
      <c r="E19" s="2"/>
      <c r="F19" s="2"/>
      <c r="G19" s="2"/>
      <c r="H19" s="2"/>
      <c r="I19" s="2"/>
      <c r="J19" s="2"/>
    </row>
    <row r="20" spans="1:17" x14ac:dyDescent="0.2">
      <c r="B20" s="11"/>
      <c r="C20" s="11"/>
      <c r="D20" s="11"/>
      <c r="E20" s="11"/>
      <c r="F20" s="11"/>
      <c r="G20" s="11"/>
      <c r="H20" s="11"/>
      <c r="I20" s="11"/>
      <c r="J20" s="11"/>
      <c r="K20" s="11"/>
      <c r="L20" s="11"/>
      <c r="M20" s="12"/>
      <c r="N20" s="12"/>
      <c r="O20" s="12"/>
      <c r="P20" s="12"/>
      <c r="Q20" s="12"/>
    </row>
    <row r="21" spans="1:17" ht="13.5" thickBot="1" x14ac:dyDescent="0.25">
      <c r="B21" s="13"/>
      <c r="C21" s="13"/>
      <c r="D21" s="13"/>
      <c r="E21" s="13"/>
      <c r="F21" s="13"/>
      <c r="G21" s="13"/>
      <c r="H21" s="13"/>
      <c r="I21" s="13"/>
      <c r="J21" s="13"/>
      <c r="K21" s="13"/>
      <c r="L21" s="13"/>
    </row>
    <row r="22" spans="1:17" ht="15.75" x14ac:dyDescent="0.25">
      <c r="B22" s="14" t="s">
        <v>177</v>
      </c>
      <c r="C22" s="15"/>
      <c r="D22" s="15"/>
      <c r="E22" s="15"/>
      <c r="F22" s="15"/>
      <c r="G22" s="15"/>
      <c r="H22" s="15"/>
      <c r="I22" s="16"/>
      <c r="J22" s="4"/>
      <c r="K22" s="4"/>
      <c r="L22" s="4"/>
    </row>
    <row r="23" spans="1:17" ht="14.25" x14ac:dyDescent="0.2">
      <c r="B23" s="17"/>
      <c r="F23" s="18">
        <v>2019</v>
      </c>
      <c r="G23" s="19" t="s">
        <v>178</v>
      </c>
      <c r="I23" s="20"/>
      <c r="J23" s="4"/>
      <c r="K23" s="4"/>
      <c r="L23" s="4"/>
    </row>
    <row r="24" spans="1:17" ht="14.25" x14ac:dyDescent="0.2">
      <c r="B24" s="21" t="s">
        <v>145</v>
      </c>
      <c r="F24" s="22" t="s">
        <v>110</v>
      </c>
      <c r="G24" s="31">
        <v>1.4E-2</v>
      </c>
      <c r="H24" s="23" t="s">
        <v>179</v>
      </c>
      <c r="I24" s="24"/>
      <c r="J24" s="4"/>
      <c r="K24" s="4"/>
      <c r="L24" s="4"/>
    </row>
    <row r="25" spans="1:17" ht="14.25" x14ac:dyDescent="0.2">
      <c r="B25" s="21" t="s">
        <v>147</v>
      </c>
      <c r="F25" s="5" t="s">
        <v>180</v>
      </c>
      <c r="G25" s="31">
        <v>1.9E-2</v>
      </c>
      <c r="H25" s="23" t="s">
        <v>179</v>
      </c>
      <c r="I25" s="24"/>
      <c r="J25" s="4"/>
      <c r="K25" s="4"/>
      <c r="L25" s="4"/>
    </row>
    <row r="26" spans="1:17" ht="14.25" x14ac:dyDescent="0.2">
      <c r="B26" s="21" t="s">
        <v>162</v>
      </c>
      <c r="F26" s="5" t="s">
        <v>163</v>
      </c>
      <c r="G26" s="32" t="s">
        <v>181</v>
      </c>
      <c r="H26" s="23" t="s">
        <v>182</v>
      </c>
      <c r="I26" s="24"/>
      <c r="J26" s="4"/>
      <c r="K26" s="4"/>
      <c r="L26" s="4"/>
    </row>
    <row r="27" spans="1:17" ht="18.75" customHeight="1" x14ac:dyDescent="0.2">
      <c r="B27" s="25" t="s">
        <v>83</v>
      </c>
      <c r="G27" s="26"/>
      <c r="I27" s="27"/>
      <c r="J27" s="4"/>
      <c r="K27" s="4"/>
      <c r="L27" s="4"/>
    </row>
    <row r="28" spans="1:17" ht="13.5" thickBot="1" x14ac:dyDescent="0.25">
      <c r="B28" s="28"/>
      <c r="C28" s="29"/>
      <c r="D28" s="29"/>
      <c r="E28" s="29"/>
      <c r="F28" s="29"/>
      <c r="G28" s="29"/>
      <c r="H28" s="29"/>
      <c r="I28" s="30"/>
      <c r="J28" s="4"/>
      <c r="K28" s="4"/>
      <c r="L28" s="4"/>
    </row>
    <row r="29" spans="1:17" x14ac:dyDescent="0.2">
      <c r="B29" s="4"/>
    </row>
  </sheetData>
  <pageMargins left="0.55118110236220474" right="0.23622047244094491" top="0.98425196850393704" bottom="0.98425196850393704" header="0.51181102362204722" footer="0.51181102362204722"/>
  <pageSetup paperSize="9" scale="80" orientation="landscape" cellComments="asDisplayed" r:id="rId1"/>
  <headerFooter alignWithMargins="0">
    <oddFooter>&amp;L&amp;1#&amp;"Calibri"&amp;8&amp;K000000Sensitivity: Internal&amp;C&amp;1#&amp;"Calibri"&amp;8&amp;K000000Sensitivity: Internal</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18520FA9AE58D4C9751FD4968D30A20" ma:contentTypeVersion="19" ma:contentTypeDescription="Create a new document." ma:contentTypeScope="" ma:versionID="a042a4a73b5dbc3e351e3486b6c6d910">
  <xsd:schema xmlns:xsd="http://www.w3.org/2001/XMLSchema" xmlns:xs="http://www.w3.org/2001/XMLSchema" xmlns:p="http://schemas.microsoft.com/office/2006/metadata/properties" xmlns:ns2="193f3a61-1ccc-4bd5-a505-175ac40a581d" xmlns:ns3="4adb27ba-3b56-433a-a5ab-38a52a8741f7" xmlns:ns4="baa6ae30-afb9-43ca-979f-40996da77185" targetNamespace="http://schemas.microsoft.com/office/2006/metadata/properties" ma:root="true" ma:fieldsID="86c33ab6277c3afc039c2f190bb1d34e" ns2:_="" ns3:_="" ns4:_="">
    <xsd:import namespace="193f3a61-1ccc-4bd5-a505-175ac40a581d"/>
    <xsd:import namespace="4adb27ba-3b56-433a-a5ab-38a52a8741f7"/>
    <xsd:import namespace="baa6ae30-afb9-43ca-979f-40996da7718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4:TaxCatchAll"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3f3a61-1ccc-4bd5-a505-175ac40a58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6d14256-4531-424c-b426-6b1dee6666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db27ba-3b56-433a-a5ab-38a52a8741f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aa6ae30-afb9-43ca-979f-40996da77185"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1ba08ee-e933-413d-a370-457c93b0f8b1}" ma:internalName="TaxCatchAll" ma:showField="CatchAllData" ma:web="4adb27ba-3b56-433a-a5ab-38a52a8741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aa6ae30-afb9-43ca-979f-40996da77185" xsi:nil="true"/>
    <lcf76f155ced4ddcb4097134ff3c332f xmlns="193f3a61-1ccc-4bd5-a505-175ac40a581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5CF2B24-8BB3-40E1-A7FF-9264CC86E2C8}">
  <ds:schemaRefs>
    <ds:schemaRef ds:uri="http://schemas.microsoft.com/sharepoint/v3/contenttype/forms"/>
  </ds:schemaRefs>
</ds:datastoreItem>
</file>

<file path=customXml/itemProps2.xml><?xml version="1.0" encoding="utf-8"?>
<ds:datastoreItem xmlns:ds="http://schemas.openxmlformats.org/officeDocument/2006/customXml" ds:itemID="{596A95F7-5256-4398-BA4D-21B8957B5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3f3a61-1ccc-4bd5-a505-175ac40a581d"/>
    <ds:schemaRef ds:uri="4adb27ba-3b56-433a-a5ab-38a52a8741f7"/>
    <ds:schemaRef ds:uri="baa6ae30-afb9-43ca-979f-40996da771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6EA4E5-E3F1-41C4-9C78-78DA780A78B2}">
  <ds:schemaRefs>
    <ds:schemaRef ds:uri="http://schemas.microsoft.com/office/2006/documentManagement/types"/>
    <ds:schemaRef ds:uri="http://schemas.microsoft.com/office/2006/metadata/properties"/>
    <ds:schemaRef ds:uri="http://purl.org/dc/terms/"/>
    <ds:schemaRef ds:uri="http://www.w3.org/XML/1998/namespace"/>
    <ds:schemaRef ds:uri="http://purl.org/dc/dcmitype/"/>
    <ds:schemaRef ds:uri="4adb27ba-3b56-433a-a5ab-38a52a8741f7"/>
    <ds:schemaRef ds:uri="http://schemas.microsoft.com/office/infopath/2007/PartnerControls"/>
    <ds:schemaRef ds:uri="http://purl.org/dc/elements/1.1/"/>
    <ds:schemaRef ds:uri="http://schemas.openxmlformats.org/package/2006/metadata/core-properties"/>
    <ds:schemaRef ds:uri="baa6ae30-afb9-43ca-979f-40996da77185"/>
    <ds:schemaRef ds:uri="193f3a61-1ccc-4bd5-a505-175ac40a581d"/>
  </ds:schemaRefs>
</ds:datastoreItem>
</file>

<file path=docMetadata/LabelInfo.xml><?xml version="1.0" encoding="utf-8"?>
<clbl:labelList xmlns:clbl="http://schemas.microsoft.com/office/2020/mipLabelMetadata">
  <clbl:label id="{f604d2c9-1577-460e-b668-57374a0216c3}" enabled="1" method="Standard" siteId="{1676489c-5c72-46b7-ba63-9ab90c4aad4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25</vt:i4>
      </vt:variant>
    </vt:vector>
  </HeadingPairs>
  <TitlesOfParts>
    <vt:vector size="56" baseType="lpstr">
      <vt:lpstr>Telenor Q3 26</vt:lpstr>
      <vt:lpstr>Telenor Q2 26</vt:lpstr>
      <vt:lpstr>Telenor Q1 26</vt:lpstr>
      <vt:lpstr>Telenor Q4 25</vt:lpstr>
      <vt:lpstr>Telenor Q3 25</vt:lpstr>
      <vt:lpstr>Telenor Q2 25</vt:lpstr>
      <vt:lpstr>Telenor Q1 25</vt:lpstr>
      <vt:lpstr>Telenor Q4 24</vt:lpstr>
      <vt:lpstr>Telenor Q3 24</vt:lpstr>
      <vt:lpstr>Telenor Q2 24</vt:lpstr>
      <vt:lpstr>Telenor Q1 24</vt:lpstr>
      <vt:lpstr>Telenor Q4 23</vt:lpstr>
      <vt:lpstr>Telenor Q323</vt:lpstr>
      <vt:lpstr>Telenor Q223</vt:lpstr>
      <vt:lpstr>Telenor Q123</vt:lpstr>
      <vt:lpstr>Telenor Q422</vt:lpstr>
      <vt:lpstr>Telenor Q322</vt:lpstr>
      <vt:lpstr>Telenor Q222</vt:lpstr>
      <vt:lpstr>Telenor Q122</vt:lpstr>
      <vt:lpstr>Telenor Q421</vt:lpstr>
      <vt:lpstr>Telenor Q321</vt:lpstr>
      <vt:lpstr>Telenor Q221</vt:lpstr>
      <vt:lpstr>Telenor Q121 incl. Myanmar</vt:lpstr>
      <vt:lpstr>Telenor Q420 incl. Myanmar</vt:lpstr>
      <vt:lpstr> Telenor Q320 incl. Myanmar</vt:lpstr>
      <vt:lpstr> Telenor Q220 incl. Myanmar </vt:lpstr>
      <vt:lpstr>Telenor Q120 incl. Myanmar</vt:lpstr>
      <vt:lpstr>Telenor Q419 pre IFRS 16</vt:lpstr>
      <vt:lpstr>Telenor Q319 pre IFRS 16</vt:lpstr>
      <vt:lpstr> Telenor Q219 pre IFRS 16</vt:lpstr>
      <vt:lpstr>Telenor Q119 pre IFRS 16</vt:lpstr>
      <vt:lpstr>' Telenor Q219 pre IFRS 16'!Print_Area</vt:lpstr>
      <vt:lpstr>' Telenor Q220 incl. Myanmar '!Print_Area</vt:lpstr>
      <vt:lpstr>' Telenor Q320 incl. Myanmar'!Print_Area</vt:lpstr>
      <vt:lpstr>'Telenor Q1 24'!Print_Area</vt:lpstr>
      <vt:lpstr>'Telenor Q1 25'!Print_Area</vt:lpstr>
      <vt:lpstr>'Telenor Q119 pre IFRS 16'!Print_Area</vt:lpstr>
      <vt:lpstr>'Telenor Q120 incl. Myanmar'!Print_Area</vt:lpstr>
      <vt:lpstr>'Telenor Q121 incl. Myanmar'!Print_Area</vt:lpstr>
      <vt:lpstr>'Telenor Q122'!Print_Area</vt:lpstr>
      <vt:lpstr>'Telenor Q123'!Print_Area</vt:lpstr>
      <vt:lpstr>'Telenor Q2 24'!Print_Area</vt:lpstr>
      <vt:lpstr>'Telenor Q2 25'!Print_Area</vt:lpstr>
      <vt:lpstr>'Telenor Q221'!Print_Area</vt:lpstr>
      <vt:lpstr>'Telenor Q222'!Print_Area</vt:lpstr>
      <vt:lpstr>'Telenor Q223'!Print_Area</vt:lpstr>
      <vt:lpstr>'Telenor Q3 24'!Print_Area</vt:lpstr>
      <vt:lpstr>'Telenor Q319 pre IFRS 16'!Print_Area</vt:lpstr>
      <vt:lpstr>'Telenor Q321'!Print_Area</vt:lpstr>
      <vt:lpstr>'Telenor Q322'!Print_Area</vt:lpstr>
      <vt:lpstr>'Telenor Q4 23'!Print_Area</vt:lpstr>
      <vt:lpstr>'Telenor Q4 24'!Print_Area</vt:lpstr>
      <vt:lpstr>'Telenor Q419 pre IFRS 16'!Print_Area</vt:lpstr>
      <vt:lpstr>'Telenor Q420 incl. Myanmar'!Print_Area</vt:lpstr>
      <vt:lpstr>'Telenor Q421'!Print_Area</vt:lpstr>
      <vt:lpstr>'Telenor Q422'!Print_Area</vt:lpstr>
    </vt:vector>
  </TitlesOfParts>
  <Manager/>
  <Company>Telenor ASA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kristin-dreyer.hysing@telenor.com</dc:creator>
  <cp:keywords/>
  <dc:description/>
  <cp:lastModifiedBy>Oscar Jacobsen Sperre</cp:lastModifiedBy>
  <cp:revision/>
  <dcterms:created xsi:type="dcterms:W3CDTF">2019-04-26T14:39:22Z</dcterms:created>
  <dcterms:modified xsi:type="dcterms:W3CDTF">2026-10-28T10:56:23Z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0x010100118520FA9AE58D4C9751FD4968D30A20</vt:lpwstr>
  </property>
  <property fmtid="{D5CDD505-2E9C-101B-9397-08002B2CF9AE}" pid="5" name="MediaServiceImageTags">
    <vt:lpwstr/>
  </property>
  <property fmtid="{D5CDD505-2E9C-101B-9397-08002B2CF9AE}" pid="6" name="MSIP_Label_f604d2c9-1577-460e-b668-57374a0216c3_Enabled">
    <vt:lpwstr>true</vt:lpwstr>
  </property>
  <property fmtid="{D5CDD505-2E9C-101B-9397-08002B2CF9AE}" pid="7" name="MSIP_Label_f604d2c9-1577-460e-b668-57374a0216c3_SetDate">
    <vt:lpwstr>2023-02-01T13:26:44Z</vt:lpwstr>
  </property>
  <property fmtid="{D5CDD505-2E9C-101B-9397-08002B2CF9AE}" pid="8" name="MSIP_Label_f604d2c9-1577-460e-b668-57374a0216c3_Method">
    <vt:lpwstr>Standard</vt:lpwstr>
  </property>
  <property fmtid="{D5CDD505-2E9C-101B-9397-08002B2CF9AE}" pid="9" name="MSIP_Label_f604d2c9-1577-460e-b668-57374a0216c3_Name">
    <vt:lpwstr>f604d2c9-1577-460e-b668-57374a0216c3</vt:lpwstr>
  </property>
  <property fmtid="{D5CDD505-2E9C-101B-9397-08002B2CF9AE}" pid="10" name="MSIP_Label_f604d2c9-1577-460e-b668-57374a0216c3_SiteId">
    <vt:lpwstr>1676489c-5c72-46b7-ba63-9ab90c4aad44</vt:lpwstr>
  </property>
  <property fmtid="{D5CDD505-2E9C-101B-9397-08002B2CF9AE}" pid="11" name="MSIP_Label_f604d2c9-1577-460e-b668-57374a0216c3_ActionId">
    <vt:lpwstr>b29cc0b2-a79a-4618-875c-60c7efd6088d</vt:lpwstr>
  </property>
  <property fmtid="{D5CDD505-2E9C-101B-9397-08002B2CF9AE}" pid="12" name="MSIP_Label_f604d2c9-1577-460e-b668-57374a0216c3_ContentBits">
    <vt:lpwstr>2</vt:lpwstr>
  </property>
</Properties>
</file>