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225" yWindow="150" windowWidth="14190" windowHeight="14670" tabRatio="794" firstSheet="4" activeTab="4"/>
  </bookViews>
  <sheets>
    <sheet name="Other_DK (not in use)" sheetId="131" state="hidden" r:id="rId1"/>
    <sheet name="Web File adj Other for Q1-16" sheetId="132" state="hidden" r:id="rId2"/>
    <sheet name="EBITDA Contribution -brukes den" sheetId="129" state="hidden" r:id="rId3"/>
    <sheet name="Ark3" sheetId="113" state="hidden" r:id="rId4"/>
    <sheet name="Norway" sheetId="117" r:id="rId5"/>
    <sheet name="Denmark" sheetId="110" r:id="rId6"/>
    <sheet name="Sweden" sheetId="109" r:id="rId7"/>
    <sheet name="Bulgaria" sheetId="125" r:id="rId8"/>
    <sheet name="Hungary" sheetId="42" r:id="rId9"/>
    <sheet name="Montenegro &amp; Serbia" sheetId="127" r:id="rId10"/>
    <sheet name="dtac" sheetId="44" r:id="rId11"/>
    <sheet name="Digi" sheetId="45" r:id="rId12"/>
    <sheet name="Grameenphone" sheetId="46" r:id="rId13"/>
    <sheet name="Pakistan" sheetId="47" r:id="rId14"/>
    <sheet name="India" sheetId="116" r:id="rId15"/>
    <sheet name="Myanmar" sheetId="126" r:id="rId16"/>
    <sheet name="Broadcast " sheetId="51" r:id="rId17"/>
    <sheet name="Other units" sheetId="52" r:id="rId18"/>
    <sheet name="P &amp; L" sheetId="53" r:id="rId19"/>
    <sheet name="Segments" sheetId="124" r:id="rId20"/>
    <sheet name="Balance" sheetId="54" r:id="rId21"/>
    <sheet name="Cash Flow" sheetId="55" r:id="rId22"/>
    <sheet name="Special items" sheetId="56" r:id="rId23"/>
    <sheet name="Reconciliation" sheetId="58" r:id="rId24"/>
    <sheet name="Amort &amp; Depr" sheetId="92" r:id="rId25"/>
    <sheet name="Investments" sheetId="59" r:id="rId26"/>
    <sheet name="Analytical information" sheetId="134" r:id="rId27"/>
    <sheet name="Average exchange rates YTD" sheetId="135"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de2" localSheetId="27" hidden="1">{"Side 1",#N/A,FALSE,"Hovedark";"Side 2",#N/A,FALSE,"Hovedark";"Side 3",#N/A,FALSE,"Hovedark"}</definedName>
    <definedName name="_de2" localSheetId="1" hidden="1">{"Side 1",#N/A,FALSE,"Hovedark";"Side 2",#N/A,FALSE,"Hovedark";"Side 3",#N/A,FALSE,"Hovedark"}</definedName>
    <definedName name="_de2" hidden="1">{"Side 1",#N/A,FALSE,"Hovedark";"Side 2",#N/A,FALSE,"Hovedark";"Side 3",#N/A,FALSE,"Hovedark"}</definedName>
    <definedName name="a" localSheetId="26">#REF!</definedName>
    <definedName name="a" localSheetId="7">#REF!</definedName>
    <definedName name="a" localSheetId="14">#REF!</definedName>
    <definedName name="a" localSheetId="9">#REF!</definedName>
    <definedName name="a" localSheetId="15">#REF!</definedName>
    <definedName name="a" localSheetId="4">#REF!</definedName>
    <definedName name="a" localSheetId="0">#REF!</definedName>
    <definedName name="a" localSheetId="19">#REF!</definedName>
    <definedName name="a" localSheetId="1">[1]proforma!#REF!</definedName>
    <definedName name="a">#REF!</definedName>
    <definedName name="a_sted" localSheetId="1">'[2]A-sted'!$A$8:$J$52</definedName>
    <definedName name="a_sted">'[3]A-sted'!$A$8:$J$52</definedName>
    <definedName name="a_sted_akk" localSheetId="1">'[2]A-sted'!$O$8:$AA$59</definedName>
    <definedName name="a_sted_akk">'[3]A-sted'!$O$8:$AA$59</definedName>
    <definedName name="AccessDatabase" hidden="1">"C:\Dokumenter\Carlsberg estimat.mdb"</definedName>
    <definedName name="Användare" localSheetId="26">#REF!</definedName>
    <definedName name="Användare" localSheetId="7">#REF!</definedName>
    <definedName name="Användare" localSheetId="14">#REF!</definedName>
    <definedName name="Användare" localSheetId="9">#REF!</definedName>
    <definedName name="Användare" localSheetId="15">#REF!</definedName>
    <definedName name="Användare" localSheetId="4">#REF!</definedName>
    <definedName name="Användare" localSheetId="0">#REF!</definedName>
    <definedName name="Användare" localSheetId="19">#REF!</definedName>
    <definedName name="Användare" localSheetId="1">#REF!</definedName>
    <definedName name="Användare">#REF!</definedName>
    <definedName name="Button_3">"Carlsberg_estimat_Resultatopgørelse_List"</definedName>
    <definedName name="Company_Code" localSheetId="1">[4]Front!$E$10</definedName>
    <definedName name="Company_Code">[5]Front!$E$10</definedName>
    <definedName name="Company_Name" localSheetId="1">[4]Front!$E$11</definedName>
    <definedName name="Company_Name">[5]Front!$E$11</definedName>
    <definedName name="Currency" localSheetId="1">[4]Front!$E$13</definedName>
    <definedName name="Currency">[5]Front!$E$15</definedName>
    <definedName name="Datatabell" localSheetId="26">#REF!</definedName>
    <definedName name="Datatabell" localSheetId="7">#REF!</definedName>
    <definedName name="Datatabell" localSheetId="14">#REF!</definedName>
    <definedName name="Datatabell" localSheetId="9">#REF!</definedName>
    <definedName name="Datatabell" localSheetId="15">#REF!</definedName>
    <definedName name="Datatabell" localSheetId="4">#REF!</definedName>
    <definedName name="Datatabell" localSheetId="0">#REF!</definedName>
    <definedName name="Datatabell" localSheetId="19">#REF!</definedName>
    <definedName name="Datatabell" localSheetId="1">#REF!</definedName>
    <definedName name="Datatabell">#REF!</definedName>
    <definedName name="Date" localSheetId="1">[4]Front!$E$14</definedName>
    <definedName name="Date">[5]Front!$E$16</definedName>
    <definedName name="ddd" localSheetId="27" hidden="1">{"Side 1",#N/A,FALSE,"Hovedark";"Side 2",#N/A,FALSE,"Hovedark";"Side 3",#N/A,FALSE,"Hovedark"}</definedName>
    <definedName name="ddd" hidden="1">{"Side 1",#N/A,FALSE,"Hovedark";"Side 2",#N/A,FALSE,"Hovedark";"Side 3",#N/A,FALSE,"Hovedark"}</definedName>
    <definedName name="de3f" localSheetId="27" hidden="1">{"Resultat",#N/A,TRUE,"Hovedtal";"Balance",#N/A,TRUE,"Hovedtal";"Cash_Flow",#N/A,TRUE,"Hovedtal"}</definedName>
    <definedName name="de3f" localSheetId="1" hidden="1">{"Resultat",#N/A,TRUE,"Hovedtal";"Balance",#N/A,TRUE,"Hovedtal";"Cash_Flow",#N/A,TRUE,"Hovedtal"}</definedName>
    <definedName name="de3f" hidden="1">{"Resultat",#N/A,TRUE,"Hovedtal";"Balance",#N/A,TRUE,"Hovedtal";"Cash_Flow",#N/A,TRUE,"Hovedtal"}</definedName>
    <definedName name="dew">[6]Front!$E$12</definedName>
    <definedName name="dfw">[6]Front!$E$16</definedName>
    <definedName name="dropdownyear" localSheetId="27">[7]MENU!$AR$14:$AR$21</definedName>
    <definedName name="dropdownyear">#REF!</definedName>
    <definedName name="EgenRappPath" localSheetId="26">#REF!</definedName>
    <definedName name="EgenRappPath" localSheetId="7">#REF!</definedName>
    <definedName name="EgenRappPath" localSheetId="14">#REF!</definedName>
    <definedName name="EgenRappPath" localSheetId="9">#REF!</definedName>
    <definedName name="EgenRappPath" localSheetId="15">#REF!</definedName>
    <definedName name="EgenRappPath" localSheetId="4">#REF!</definedName>
    <definedName name="EgenRappPath" localSheetId="0">#REF!</definedName>
    <definedName name="EgenRappPath" localSheetId="19">#REF!</definedName>
    <definedName name="EgenRappPath" localSheetId="1">#REF!</definedName>
    <definedName name="EgenRappPath">#REF!</definedName>
    <definedName name="EssAliasTable" localSheetId="1">"Default"</definedName>
    <definedName name="EssfHasNonUnique" localSheetId="4">"FALSE"</definedName>
    <definedName name="EssfHasNonUnique" localSheetId="1">"FALSE"</definedName>
    <definedName name="EssLatest" localSheetId="4">"BegBalance"</definedName>
    <definedName name="EssLatest" localSheetId="1">"BegBalance"</definedName>
    <definedName name="EssOptions" localSheetId="4">"A1100000000121000011001101120_020 020 "</definedName>
    <definedName name="EssOptions" localSheetId="1">"A1100000000111000011001101020_01000"</definedName>
    <definedName name="EssSamplingValue" localSheetId="4">100</definedName>
    <definedName name="EssSamplingValue" localSheetId="1">100</definedName>
    <definedName name="ew" localSheetId="27" hidden="1">{"Side 1",#N/A,FALSE,"Hovedark";"Side 2",#N/A,FALSE,"Hovedark";"Cash Flow",#N/A,FALSE,"Hovedark";"Butik_oms",#N/A,FALSE,"Omsætning";"Lande_oms",#N/A,FALSE,"Land";"Halvår",#N/A,FALSE,"Halvår";"Valuation",#N/A,FALSE,"Valuation";"DCF",#N/A,FALSE,"DCF";"Bidrag",#N/A,FALSE,"Bidrag";"Bagside DK",#N/A,FALSE,"Bagside"}</definedName>
    <definedName name="ew" localSheetId="1" hidden="1">{"Side 1",#N/A,FALSE,"Hovedark";"Side 2",#N/A,FALSE,"Hovedark";"Cash Flow",#N/A,FALSE,"Hovedark";"Butik_oms",#N/A,FALSE,"Omsætning";"Lande_oms",#N/A,FALSE,"Land";"Halvår",#N/A,FALSE,"Halvår";"Valuation",#N/A,FALSE,"Valuation";"DCF",#N/A,FALSE,"DCF";"Bidrag",#N/A,FALSE,"Bidrag";"Bagside DK",#N/A,FALSE,"Bagside"}</definedName>
    <definedName name="ew" hidden="1">{"Side 1",#N/A,FALSE,"Hovedark";"Side 2",#N/A,FALSE,"Hovedark";"Cash Flow",#N/A,FALSE,"Hovedark";"Butik_oms",#N/A,FALSE,"Omsætning";"Lande_oms",#N/A,FALSE,"Land";"Halvår",#N/A,FALSE,"Halvår";"Valuation",#N/A,FALSE,"Valuation";"DCF",#N/A,FALSE,"DCF";"Bidrag",#N/A,FALSE,"Bidrag";"Bagside DK",#N/A,FALSE,"Bagside"}</definedName>
    <definedName name="fvq" localSheetId="27" hidden="1">{"Side 1",#N/A,FALSE,"Hovedark";"Side 2",#N/A,FALSE,"Hovedark";"Cash Flow",#N/A,FALSE,"Hovedark";"Breakdown",#N/A,FALSE,"Breakdown";"Valuation",#N/A,FALSE,"Valuation";"Bidrag",#N/A,FALSE,"Bidrag"}</definedName>
    <definedName name="fvq" localSheetId="1" hidden="1">{"Side 1",#N/A,FALSE,"Hovedark";"Side 2",#N/A,FALSE,"Hovedark";"Cash Flow",#N/A,FALSE,"Hovedark";"Breakdown",#N/A,FALSE,"Breakdown";"Valuation",#N/A,FALSE,"Valuation";"Bidrag",#N/A,FALSE,"Bidrag"}</definedName>
    <definedName name="fvq" hidden="1">{"Side 1",#N/A,FALSE,"Hovedark";"Side 2",#N/A,FALSE,"Hovedark";"Cash Flow",#N/A,FALSE,"Hovedark";"Breakdown",#N/A,FALSE,"Breakdown";"Valuation",#N/A,FALSE,"Valuation";"Bidrag",#N/A,FALSE,"Bidrag"}</definedName>
    <definedName name="hei" localSheetId="27" hidden="1">{"Side 1",#N/A,FALSE,"Hovedark";"Side 2",#N/A,FALSE,"Hovedark";"Cash Flow",#N/A,FALSE,"Hovedark";"Kvartaler",#N/A,FALSE,"Kvartaler";"Div_1",#N/A,FALSE,"Divisioner";"Div_2",#N/A,FALSE,"Divisioner";"Aggregeret",#N/A,FALSE,"Divisioner";"Oppsummering",#N/A,FALSE,"Divisioner";"Produkter",#N/A,FALSE,"Produkter";"Bakside",#N/A,FALSE,"Bagside"}</definedName>
    <definedName name="hei" localSheetId="1" hidden="1">{"Side 1",#N/A,FALSE,"Hovedark";"Side 2",#N/A,FALSE,"Hovedark";"Cash Flow",#N/A,FALSE,"Hovedark";"Kvartaler",#N/A,FALSE,"Kvartaler";"Div_1",#N/A,FALSE,"Divisioner";"Div_2",#N/A,FALSE,"Divisioner";"Aggregeret",#N/A,FALSE,"Divisioner";"Oppsummering",#N/A,FALSE,"Divisioner";"Produkter",#N/A,FALSE,"Produkter";"Bakside",#N/A,FALSE,"Bagside"}</definedName>
    <definedName name="hei" hidden="1">{"Side 1",#N/A,FALSE,"Hovedark";"Side 2",#N/A,FALSE,"Hovedark";"Cash Flow",#N/A,FALSE,"Hovedark";"Kvartaler",#N/A,FALSE,"Kvartaler";"Div_1",#N/A,FALSE,"Divisioner";"Div_2",#N/A,FALSE,"Divisioner";"Aggregeret",#N/A,FALSE,"Divisioner";"Oppsummering",#N/A,FALSE,"Divisioner";"Produkter",#N/A,FALSE,"Produkter";"Bakside",#N/A,FALSE,"Bagside"}</definedName>
    <definedName name="henning" localSheetId="27" hidden="1">{"Side 1",#N/A,FALSE,"Hovedark";"Side 2",#N/A,FALSE,"Hovedark";"Cash Flow",#N/A,FALSE,"Hovedark";"Breakdown",#N/A,FALSE,"Breakdown";"Valuation",#N/A,FALSE,"Valuation";"Bidrag",#N/A,FALSE,"Bidrag"}</definedName>
    <definedName name="henning" localSheetId="1" hidden="1">{"Side 1",#N/A,FALSE,"Hovedark";"Side 2",#N/A,FALSE,"Hovedark";"Cash Flow",#N/A,FALSE,"Hovedark";"Breakdown",#N/A,FALSE,"Breakdown";"Valuation",#N/A,FALSE,"Valuation";"Bidrag",#N/A,FALSE,"Bidrag"}</definedName>
    <definedName name="henning" hidden="1">{"Side 1",#N/A,FALSE,"Hovedark";"Side 2",#N/A,FALSE,"Hovedark";"Cash Flow",#N/A,FALSE,"Hovedark";"Breakdown",#N/A,FALSE,"Breakdown";"Valuation",#N/A,FALSE,"Valuation";"Bidrag",#N/A,FALSE,"Bidrag"}</definedName>
    <definedName name="k_kost" localSheetId="1">'[2]K-kost'!$A$9:$J$37</definedName>
    <definedName name="k_kost">'[3]K-kost'!$A$9:$J$37</definedName>
    <definedName name="k_kost_akk" localSheetId="1">'[2]K-kost'!$O$8:$AA$42</definedName>
    <definedName name="k_kost_akk">'[3]K-kost'!$O$8:$AA$42</definedName>
    <definedName name="kdfløs">[4]Front!$E$15</definedName>
    <definedName name="Kopieringsområde" localSheetId="1">'[8]Business Sol'!$A$7:$K$77</definedName>
    <definedName name="Kopieringsområde">'[9]Business Sol'!$A$7:$K$77</definedName>
    <definedName name="Lösenord" localSheetId="26">#REF!</definedName>
    <definedName name="Lösenord" localSheetId="7">#REF!</definedName>
    <definedName name="Lösenord" localSheetId="14">#REF!</definedName>
    <definedName name="Lösenord" localSheetId="9">#REF!</definedName>
    <definedName name="Lösenord" localSheetId="15">#REF!</definedName>
    <definedName name="Lösenord" localSheetId="4">#REF!</definedName>
    <definedName name="Lösenord" localSheetId="0">#REF!</definedName>
    <definedName name="Lösenord" localSheetId="19">#REF!</definedName>
    <definedName name="Lösenord" localSheetId="1">#REF!</definedName>
    <definedName name="Lösenord">#REF!</definedName>
    <definedName name="mnd">[10]Minoritet_merverd!$B$2</definedName>
    <definedName name="Month" localSheetId="26">[4]Front!#REF!</definedName>
    <definedName name="Month" localSheetId="7">[4]Front!#REF!</definedName>
    <definedName name="Month" localSheetId="14">[4]Front!#REF!</definedName>
    <definedName name="Month" localSheetId="9">[4]Front!#REF!</definedName>
    <definedName name="Month" localSheetId="15">[4]Front!#REF!</definedName>
    <definedName name="Month" localSheetId="4">[4]Front!#REF!</definedName>
    <definedName name="Month" localSheetId="0">[4]Front!#REF!</definedName>
    <definedName name="Month" localSheetId="19">[4]Front!#REF!</definedName>
    <definedName name="Month" localSheetId="1">[4]Front!#REF!</definedName>
    <definedName name="Month">[4]Front!#REF!</definedName>
    <definedName name="måned" localSheetId="1">[11]Grunndata!$B$3:$C$14</definedName>
    <definedName name="måned">[12]Grunndata!$B$3:$C$14</definedName>
    <definedName name="Period" localSheetId="1">[4]Front!#REF!</definedName>
    <definedName name="Period">[5]Front!$E$12</definedName>
    <definedName name="_xlnm.Print_Area" localSheetId="24">'Amort &amp; Depr'!$A$3:$M$59</definedName>
    <definedName name="_xlnm.Print_Area" localSheetId="26">'Analytical information'!$A$3:$M$133</definedName>
    <definedName name="_xlnm.Print_Area" localSheetId="27">'Average exchange rates YTD'!$A$3:$N$17</definedName>
    <definedName name="_xlnm.Print_Area" localSheetId="20">Balance!$A$3:$M$46</definedName>
    <definedName name="_xlnm.Print_Area" localSheetId="16">'Broadcast '!$A$3:$M$41</definedName>
    <definedName name="_xlnm.Print_Area" localSheetId="7">Bulgaria!$A$3:$M$35</definedName>
    <definedName name="_xlnm.Print_Area" localSheetId="21">'Cash Flow'!$A$3:$M$32</definedName>
    <definedName name="_xlnm.Print_Area" localSheetId="5">Denmark!$A$3:$M$44</definedName>
    <definedName name="_xlnm.Print_Area" localSheetId="11">Digi!$A$3:$M$35</definedName>
    <definedName name="_xlnm.Print_Area" localSheetId="10">dtac!$A$3:$M$35</definedName>
    <definedName name="_xlnm.Print_Area" localSheetId="12">Grameenphone!$A$3:$M$35</definedName>
    <definedName name="_xlnm.Print_Area" localSheetId="8">Hungary!$A$3:$M$35</definedName>
    <definedName name="_xlnm.Print_Area" localSheetId="14">India!$A$3:$M$33</definedName>
    <definedName name="_xlnm.Print_Area" localSheetId="25">Investments!$A$3:$M$61</definedName>
    <definedName name="_xlnm.Print_Area" localSheetId="9">'Montenegro &amp; Serbia'!$A$3:$M$39</definedName>
    <definedName name="_xlnm.Print_Area" localSheetId="15">Myanmar!$A$3:$M$36</definedName>
    <definedName name="_xlnm.Print_Area" localSheetId="4">Norway!$A$3:$M$61</definedName>
    <definedName name="_xlnm.Print_Area" localSheetId="17">'Other units'!$A$3:$M$33</definedName>
    <definedName name="_xlnm.Print_Area" localSheetId="0">'Other_DK (not in use)'!$B$7:$AR$27</definedName>
    <definedName name="_xlnm.Print_Area" localSheetId="18">'P &amp; L'!$A$3:$M$41</definedName>
    <definedName name="_xlnm.Print_Area" localSheetId="13">Pakistan!$A$3:$M$36</definedName>
    <definedName name="_xlnm.Print_Area" localSheetId="23">Reconciliation!$A$3:$M$30</definedName>
    <definedName name="_xlnm.Print_Area" localSheetId="19">Segments!$A$3:$M$81</definedName>
    <definedName name="_xlnm.Print_Area" localSheetId="22">'Special items'!$A$3:$M$74</definedName>
    <definedName name="_xlnm.Print_Area" localSheetId="6">Sweden!$A$3:$M$50</definedName>
    <definedName name="_xlnm.Print_Area" localSheetId="1">'Web File adj Other for Q1-16'!#REF!</definedName>
    <definedName name="_xlnm.Print_Area">#N/A</definedName>
    <definedName name="_xlnm.Print_Titles" localSheetId="22">'Special items'!$3:$3</definedName>
    <definedName name="_xlnm.Print_Titles">#N/A</definedName>
    <definedName name="proforma" localSheetId="26">[1]proforma!#REF!</definedName>
    <definedName name="proforma" localSheetId="7">[1]proforma!#REF!</definedName>
    <definedName name="proforma" localSheetId="14">[1]proforma!#REF!</definedName>
    <definedName name="proforma" localSheetId="9">[1]proforma!#REF!</definedName>
    <definedName name="proforma" localSheetId="15">[1]proforma!#REF!</definedName>
    <definedName name="proforma" localSheetId="4">[1]proforma!#REF!</definedName>
    <definedName name="proforma" localSheetId="0">[1]proforma!#REF!</definedName>
    <definedName name="proforma" localSheetId="19">[1]proforma!#REF!</definedName>
    <definedName name="proforma" localSheetId="1">[1]proforma!#REF!</definedName>
    <definedName name="proforma">[1]proforma!#REF!</definedName>
    <definedName name="RapportTyp" localSheetId="26">#REF!</definedName>
    <definedName name="RapportTyp" localSheetId="7">#REF!</definedName>
    <definedName name="RapportTyp" localSheetId="14">#REF!</definedName>
    <definedName name="RapportTyp" localSheetId="9">#REF!</definedName>
    <definedName name="RapportTyp" localSheetId="15">#REF!</definedName>
    <definedName name="RapportTyp" localSheetId="4">#REF!</definedName>
    <definedName name="RapportTyp" localSheetId="0">#REF!</definedName>
    <definedName name="RapportTyp" localSheetId="19">#REF!</definedName>
    <definedName name="RapportTyp" localSheetId="1">#REF!</definedName>
    <definedName name="RapportTyp">#REF!</definedName>
    <definedName name="RDT" localSheetId="27" hidden="1">{"Side 1",#N/A,FALSE,"Hovedark";"Side 2",#N/A,FALSE,"Hovedark";"Cash Flow",#N/A,FALSE,"Hovedark";"Kvartaler",#N/A,FALSE,"Kvartaler";"Div_1",#N/A,FALSE,"Divisioner";"Div_2",#N/A,FALSE,"Divisioner";"Aggregeret",#N/A,FALSE,"Divisioner";"Oppsummering",#N/A,FALSE,"Divisioner";"Produkter",#N/A,FALSE,"Produkter";"Bakside",#N/A,FALSE,"Bagside"}</definedName>
    <definedName name="RDT" localSheetId="1" hidden="1">{"Side 1",#N/A,FALSE,"Hovedark";"Side 2",#N/A,FALSE,"Hovedark";"Cash Flow",#N/A,FALSE,"Hovedark";"Kvartaler",#N/A,FALSE,"Kvartaler";"Div_1",#N/A,FALSE,"Divisioner";"Div_2",#N/A,FALSE,"Divisioner";"Aggregeret",#N/A,FALSE,"Divisioner";"Oppsummering",#N/A,FALSE,"Divisioner";"Produkter",#N/A,FALSE,"Produkter";"Bakside",#N/A,FALSE,"Bagside"}</definedName>
    <definedName name="RDT" hidden="1">{"Side 1",#N/A,FALSE,"Hovedark";"Side 2",#N/A,FALSE,"Hovedark";"Cash Flow",#N/A,FALSE,"Hovedark";"Kvartaler",#N/A,FALSE,"Kvartaler";"Div_1",#N/A,FALSE,"Divisioner";"Div_2",#N/A,FALSE,"Divisioner";"Aggregeret",#N/A,FALSE,"Divisioner";"Oppsummering",#N/A,FALSE,"Divisioner";"Produkter",#N/A,FALSE,"Produkter";"Bakside",#N/A,FALSE,"Bagside"}</definedName>
    <definedName name="res_2002" localSheetId="26">#REF!</definedName>
    <definedName name="res_2002" localSheetId="7">#REF!</definedName>
    <definedName name="res_2002" localSheetId="14">#REF!</definedName>
    <definedName name="res_2002" localSheetId="9">#REF!</definedName>
    <definedName name="res_2002" localSheetId="15">#REF!</definedName>
    <definedName name="res_2002" localSheetId="4">#REF!</definedName>
    <definedName name="res_2002" localSheetId="0">#REF!</definedName>
    <definedName name="res_2002" localSheetId="19">#REF!</definedName>
    <definedName name="res_2002" localSheetId="1">#REF!</definedName>
    <definedName name="res_2002">#REF!</definedName>
    <definedName name="res_2002_a" localSheetId="26">#REF!</definedName>
    <definedName name="res_2002_a" localSheetId="7">#REF!</definedName>
    <definedName name="res_2002_a" localSheetId="14">#REF!</definedName>
    <definedName name="res_2002_a" localSheetId="9">#REF!</definedName>
    <definedName name="res_2002_a" localSheetId="15">#REF!</definedName>
    <definedName name="res_2002_a" localSheetId="4">#REF!</definedName>
    <definedName name="res_2002_a" localSheetId="0">#REF!</definedName>
    <definedName name="res_2002_a" localSheetId="19">#REF!</definedName>
    <definedName name="res_2002_a" localSheetId="1">#REF!</definedName>
    <definedName name="res_2002_a">#REF!</definedName>
    <definedName name="Transaction_Type" localSheetId="1">[4]Front!$E$15</definedName>
    <definedName name="Transaction_Type">[5]Front!$E$20</definedName>
    <definedName name="vew" localSheetId="27" hidden="1">{"Res_og_nøgle",#N/A,FALSE,"Hovedark";"Balance",#N/A,FALSE,"Hovedark";"Bagside_DK",#N/A,FALSE,"Bagside"}</definedName>
    <definedName name="vew" localSheetId="1" hidden="1">{"Res_og_nøgle",#N/A,FALSE,"Hovedark";"Balance",#N/A,FALSE,"Hovedark";"Bagside_DK",#N/A,FALSE,"Bagside"}</definedName>
    <definedName name="vew" hidden="1">{"Res_og_nøgle",#N/A,FALSE,"Hovedark";"Balance",#N/A,FALSE,"Hovedark";"Bagside_DK",#N/A,FALSE,"Bagside"}</definedName>
    <definedName name="vis_måned" localSheetId="1">[11]Grunndata!$A$3:$B$14</definedName>
    <definedName name="vis_måned">[12]Grunndata!$A$3:$B$14</definedName>
    <definedName name="wrn.C_G_Hele." localSheetId="27" hidden="1">{"Side 1",#N/A,FALSE,"Hovedark";"Side 2",#N/A,FALSE,"Hovedark";"Cash Flow",#N/A,FALSE,"Hovedark";"Butik_oms",#N/A,FALSE,"Omsætning";"Lande_oms",#N/A,FALSE,"Land";"Halvår",#N/A,FALSE,"Halvår";"Valuation",#N/A,FALSE,"Valuation";"DCF",#N/A,FALSE,"DCF";"Bidrag",#N/A,FALSE,"Bidrag";"Bagside DK",#N/A,FALSE,"Bagside"}</definedName>
    <definedName name="wrn.C_G_Hele." localSheetId="1" hidden="1">{"Side 1",#N/A,FALSE,"Hovedark";"Side 2",#N/A,FALSE,"Hovedark";"Cash Flow",#N/A,FALSE,"Hovedark";"Butik_oms",#N/A,FALSE,"Omsætning";"Lande_oms",#N/A,FALSE,"Land";"Halvår",#N/A,FALSE,"Halvår";"Valuation",#N/A,FALSE,"Valuation";"DCF",#N/A,FALSE,"DCF";"Bidrag",#N/A,FALSE,"Bidrag";"Bagside DK",#N/A,FALSE,"Bagside"}</definedName>
    <definedName name="wrn.C_G_Hele." hidden="1">{"Side 1",#N/A,FALSE,"Hovedark";"Side 2",#N/A,FALSE,"Hovedark";"Cash Flow",#N/A,FALSE,"Hovedark";"Butik_oms",#N/A,FALSE,"Omsætning";"Lande_oms",#N/A,FALSE,"Land";"Halvår",#N/A,FALSE,"Halvår";"Valuation",#N/A,FALSE,"Valuation";"DCF",#N/A,FALSE,"DCF";"Bidrag",#N/A,FALSE,"Bidrag";"Bagside DK",#N/A,FALSE,"Bagside"}</definedName>
    <definedName name="wrn.Central." localSheetId="27" hidden="1">{"Side 1",#N/A,FALSE,"Hovedark";"Side 2",#N/A,FALSE,"Hovedark";"Side 3",#N/A,FALSE,"Hovedark"}</definedName>
    <definedName name="wrn.Central." localSheetId="1" hidden="1">{"Side 1",#N/A,FALSE,"Hovedark";"Side 2",#N/A,FALSE,"Hovedark";"Side 3",#N/A,FALSE,"Hovedark"}</definedName>
    <definedName name="wrn.Central." hidden="1">{"Side 1",#N/A,FALSE,"Hovedark";"Side 2",#N/A,FALSE,"Hovedark";"Side 3",#N/A,FALSE,"Hovedark"}</definedName>
    <definedName name="wrn.Dahl." localSheetId="27" hidden="1">{"Resultat",#N/A,TRUE,"Hovedtal";"Balance",#N/A,TRUE,"Hovedtal";"Cash_Flow",#N/A,TRUE,"Hovedtal"}</definedName>
    <definedName name="wrn.Dahl." localSheetId="1" hidden="1">{"Resultat",#N/A,TRUE,"Hovedtal";"Balance",#N/A,TRUE,"Hovedtal";"Cash_Flow",#N/A,TRUE,"Hovedtal"}</definedName>
    <definedName name="wrn.Dahl." hidden="1">{"Resultat",#N/A,TRUE,"Hovedtal";"Balance",#N/A,TRUE,"Hovedtal";"Cash_Flow",#N/A,TRUE,"Hovedtal"}</definedName>
    <definedName name="wrn.DLH_hele." localSheetId="27" hidden="1">{"Side 1",#N/A,FALSE,"Hovedark";"Side 2",#N/A,FALSE,"Hovedark";"Cash Flow",#N/A,FALSE,"Hovedark";"Breakdown",#N/A,FALSE,"Breakdown";"Valuation",#N/A,FALSE,"Valuation";"Bidrag",#N/A,FALSE,"Bidrag"}</definedName>
    <definedName name="wrn.DLH_hele." localSheetId="1" hidden="1">{"Side 1",#N/A,FALSE,"Hovedark";"Side 2",#N/A,FALSE,"Hovedark";"Cash Flow",#N/A,FALSE,"Hovedark";"Breakdown",#N/A,FALSE,"Breakdown";"Valuation",#N/A,FALSE,"Valuation";"Bidrag",#N/A,FALSE,"Bidrag"}</definedName>
    <definedName name="wrn.DLH_hele." hidden="1">{"Side 1",#N/A,FALSE,"Hovedark";"Side 2",#N/A,FALSE,"Hovedark";"Cash Flow",#N/A,FALSE,"Hovedark";"Breakdown",#N/A,FALSE,"Breakdown";"Valuation",#N/A,FALSE,"Valuation";"Bidrag",#N/A,FALSE,"Bidrag"}</definedName>
    <definedName name="wrn.Flugger." localSheetId="27" hidden="1">{"Res_og_nøgle",#N/A,FALSE,"Hovedark";"Balance",#N/A,FALSE,"Hovedark";"Bagside_DK",#N/A,FALSE,"Bagside"}</definedName>
    <definedName name="wrn.Flugger." localSheetId="1" hidden="1">{"Res_og_nøgle",#N/A,FALSE,"Hovedark";"Balance",#N/A,FALSE,"Hovedark";"Bagside_DK",#N/A,FALSE,"Bagside"}</definedName>
    <definedName name="wrn.Flugger." hidden="1">{"Res_og_nøgle",#N/A,FALSE,"Hovedark";"Balance",#N/A,FALSE,"Hovedark";"Bagside_DK",#N/A,FALSE,"Bagside"}</definedName>
    <definedName name="wrn.Hele." localSheetId="27"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localSheetId="1" hidden="1">{"Side 1",#N/A,FALSE,"Hovedark";"Side 2",#N/A,FALSE,"Hovedark";"Cash Flow",#N/A,FALSE,"Hovedark";"Kvartaler",#N/A,FALSE,"Kvartaler";"Div_1",#N/A,FALSE,"Divisioner";"Div_2",#N/A,FALSE,"Divisioner";"Aggregeret",#N/A,FALSE,"Divisioner";"Oppsummering",#N/A,FALSE,"Divisioner";"Produkter",#N/A,FALSE,"Produkter";"Bakside",#N/A,FALSE,"Bagside"}</definedName>
    <definedName name="wrn.Hele." hidden="1">{"Side 1",#N/A,FALSE,"Hovedark";"Side 2",#N/A,FALSE,"Hovedark";"Cash Flow",#N/A,FALSE,"Hovedark";"Kvartaler",#N/A,FALSE,"Kvartaler";"Div_1",#N/A,FALSE,"Divisioner";"Div_2",#N/A,FALSE,"Divisioner";"Aggregeret",#N/A,FALSE,"Divisioner";"Oppsummering",#N/A,FALSE,"Divisioner";"Produkter",#N/A,FALSE,"Produkter";"Bakside",#N/A,FALSE,"Bagside"}</definedName>
    <definedName name="wrn.InWear_Hele." localSheetId="27"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localSheetId="1" hidden="1">{"Side 1",#N/A,FALSE,"Hovedark";"Side 2",#N/A,FALSE,"Hovedark";"Cash Flow",#N/A,FALSE,"Hovedark";"Valuation",#N/A,FALSE,"Valuation";"Bagside DK",#N/A,FALSE,"Bagside";"Overblik",#N/A,FALSE,"Butikker";"Egne_but",#N/A,FALSE,"Butikker";"Andet_salg",#N/A,FALSE,"Butikker";"Halvår",#N/A,FALSE,"Halvår";"Investeringer",#N/A,FALSE,"Investeringer"}</definedName>
    <definedName name="wrn.InWear_Hele." hidden="1">{"Side 1",#N/A,FALSE,"Hovedark";"Side 2",#N/A,FALSE,"Hovedark";"Cash Flow",#N/A,FALSE,"Hovedark";"Valuation",#N/A,FALSE,"Valuation";"Bagside DK",#N/A,FALSE,"Bagside";"Overblik",#N/A,FALSE,"Butikker";"Egne_but",#N/A,FALSE,"Butikker";"Andet_salg",#N/A,FALSE,"Butikker";"Halvår",#N/A,FALSE,"Halvår";"Investeringer",#N/A,FALSE,"Investeringer"}</definedName>
    <definedName name="wrn.Jamo_Hele." localSheetId="27"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localSheetId="1" hidden="1">{"Side 1",#N/A,FALSE,"Hovedark";"Side 2",#N/A,FALSE,"Hovedark";"Cash Flow",#N/A,FALSE,"Hovedark";"Bagside DK",#N/A,FALSE,"Bagside";"Bidrag",#N/A,FALSE,"Bidrag";"Valuation",#N/A,FALSE,"Valuation";"Privatforbrug",#N/A,FALSE,"Macro";"Penetreing",#N/A,FALSE,"Oms. forv.";"Prod_Markeder",#N/A,FALSE,"Oms. forv.";"penetreing",#N/A,FALSE,"Penetrering"}</definedName>
    <definedName name="wrn.Jamo_Hele." hidden="1">{"Side 1",#N/A,FALSE,"Hovedark";"Side 2",#N/A,FALSE,"Hovedark";"Cash Flow",#N/A,FALSE,"Hovedark";"Bagside DK",#N/A,FALSE,"Bagside";"Bidrag",#N/A,FALSE,"Bidrag";"Valuation",#N/A,FALSE,"Valuation";"Privatforbrug",#N/A,FALSE,"Macro";"Penetreing",#N/A,FALSE,"Oms. forv.";"Prod_Markeder",#N/A,FALSE,"Oms. forv.";"penetreing",#N/A,FALSE,"Penetrering"}</definedName>
    <definedName name="wrn.pip." localSheetId="27" hidden="1">{"Aar",#N/A,FALSE,"Divisioner";"Kvartaler",#N/A,FALSE,"Divisioner";"Aggregering",#N/A,FALSE,"Divisioner";"Aar",#N/A,FALSE,"Norge div. (gl)";"Kvartal",#N/A,FALSE,"Norge div. (gl)";"Samling",#N/A,FALSE,"Norge div. (gl)"}</definedName>
    <definedName name="wrn.pip." localSheetId="1" hidden="1">{"Aar",#N/A,FALSE,"Divisioner";"Kvartaler",#N/A,FALSE,"Divisioner";"Aggregering",#N/A,FALSE,"Divisioner";"Aar",#N/A,FALSE,"Norge div. (gl)";"Kvartal",#N/A,FALSE,"Norge div. (gl)";"Samling",#N/A,FALSE,"Norge div. (gl)"}</definedName>
    <definedName name="wrn.pip." hidden="1">{"Aar",#N/A,FALSE,"Divisioner";"Kvartaler",#N/A,FALSE,"Divisioner";"Aggregering",#N/A,FALSE,"Divisioner";"Aar",#N/A,FALSE,"Norge div. (gl)";"Kvartal",#N/A,FALSE,"Norge div. (gl)";"Samling",#N/A,FALSE,"Norge div. (gl)"}</definedName>
    <definedName name="wrn.Temp." localSheetId="27" hidden="1">{"Side 1",#N/A,FALSE,"Hovedark";"Valuation",#N/A,FALSE,"Valuation";"Side 2",#N/A,FALSE,"Hovedark";"Cash Flow",#N/A,FALSE,"Hovedark";"Bidrag",#N/A,FALSE,"Bidrag"}</definedName>
    <definedName name="wrn.Temp." localSheetId="1" hidden="1">{"Side 1",#N/A,FALSE,"Hovedark";"Valuation",#N/A,FALSE,"Valuation";"Side 2",#N/A,FALSE,"Hovedark";"Cash Flow",#N/A,FALSE,"Hovedark";"Bidrag",#N/A,FALSE,"Bidrag"}</definedName>
    <definedName name="wrn.Temp." hidden="1">{"Side 1",#N/A,FALSE,"Hovedark";"Valuation",#N/A,FALSE,"Valuation";"Side 2",#N/A,FALSE,"Hovedark";"Cash Flow",#N/A,FALSE,"Hovedark";"Bidrag",#N/A,FALSE,"Bidrag"}</definedName>
    <definedName name="Year">[4]Front!$E$12</definedName>
  </definedNames>
  <calcPr calcId="145621"/>
</workbook>
</file>

<file path=xl/calcChain.xml><?xml version="1.0" encoding="utf-8"?>
<calcChain xmlns="http://schemas.openxmlformats.org/spreadsheetml/2006/main">
  <c r="N13" i="109" l="1"/>
  <c r="N12" i="109"/>
  <c r="N11" i="109"/>
  <c r="N10" i="109"/>
  <c r="N9" i="109"/>
  <c r="N8" i="109"/>
  <c r="N7" i="109"/>
  <c r="N6" i="109"/>
  <c r="L30" i="132" l="1"/>
  <c r="K30" i="132"/>
  <c r="J30" i="132"/>
  <c r="J39" i="132" s="1"/>
  <c r="I30" i="132"/>
  <c r="H30" i="132"/>
  <c r="G30" i="132"/>
  <c r="F30" i="132"/>
  <c r="F39" i="132" s="1"/>
  <c r="E30" i="132"/>
  <c r="D30" i="132"/>
  <c r="C30" i="132"/>
  <c r="L23" i="132"/>
  <c r="L26" i="132" s="1"/>
  <c r="K23" i="132"/>
  <c r="K26" i="132" s="1"/>
  <c r="J23" i="132"/>
  <c r="J26" i="132" s="1"/>
  <c r="I23" i="132"/>
  <c r="I26" i="132" s="1"/>
  <c r="H23" i="132"/>
  <c r="H26" i="132" s="1"/>
  <c r="G23" i="132"/>
  <c r="G26" i="132" s="1"/>
  <c r="F23" i="132"/>
  <c r="F26" i="132" s="1"/>
  <c r="E23" i="132"/>
  <c r="E26" i="132" s="1"/>
  <c r="D23" i="132"/>
  <c r="D26" i="132" s="1"/>
  <c r="C23" i="132"/>
  <c r="C26" i="132" s="1"/>
  <c r="L16" i="132"/>
  <c r="L19" i="132" s="1"/>
  <c r="K16" i="132"/>
  <c r="K19" i="132" s="1"/>
  <c r="J16" i="132"/>
  <c r="J19" i="132" s="1"/>
  <c r="I16" i="132"/>
  <c r="I19" i="132" s="1"/>
  <c r="H16" i="132"/>
  <c r="H19" i="132" s="1"/>
  <c r="G16" i="132"/>
  <c r="G19" i="132" s="1"/>
  <c r="F16" i="132"/>
  <c r="F19" i="132" s="1"/>
  <c r="E16" i="132"/>
  <c r="E19" i="132" s="1"/>
  <c r="D16" i="132"/>
  <c r="D19" i="132" s="1"/>
  <c r="C16" i="132"/>
  <c r="C19" i="132" s="1"/>
  <c r="L9" i="132"/>
  <c r="K9" i="132"/>
  <c r="K38" i="132" s="1"/>
  <c r="J9" i="132"/>
  <c r="J38" i="132" s="1"/>
  <c r="I9" i="132"/>
  <c r="H9" i="132"/>
  <c r="G9" i="132"/>
  <c r="G38" i="132" s="1"/>
  <c r="F9" i="132"/>
  <c r="F38" i="132" s="1"/>
  <c r="E9" i="132"/>
  <c r="D9" i="132"/>
  <c r="C9" i="132"/>
  <c r="C38" i="132" s="1"/>
  <c r="J12" i="132" l="1"/>
  <c r="F33" i="132"/>
  <c r="E33" i="132"/>
  <c r="E39" i="132"/>
  <c r="H12" i="132"/>
  <c r="H38" i="132"/>
  <c r="J33" i="132"/>
  <c r="E12" i="132"/>
  <c r="E38" i="132"/>
  <c r="I12" i="132"/>
  <c r="I38" i="132"/>
  <c r="C12" i="132"/>
  <c r="K12" i="132"/>
  <c r="C33" i="132"/>
  <c r="C39" i="132"/>
  <c r="G33" i="132"/>
  <c r="G39" i="132"/>
  <c r="K33" i="132"/>
  <c r="K39" i="132"/>
  <c r="G12" i="132"/>
  <c r="I33" i="132"/>
  <c r="I39" i="132"/>
  <c r="D12" i="132"/>
  <c r="D38" i="132"/>
  <c r="L12" i="132"/>
  <c r="L38" i="132"/>
  <c r="F12" i="132"/>
  <c r="D33" i="132"/>
  <c r="D39" i="132"/>
  <c r="H33" i="132"/>
  <c r="H39" i="132"/>
  <c r="L33" i="132"/>
  <c r="L39" i="132"/>
  <c r="M39" i="132" l="1"/>
  <c r="M38" i="132"/>
  <c r="M26" i="131" l="1"/>
  <c r="AG26" i="131" s="1"/>
  <c r="L26" i="131"/>
  <c r="K26" i="131"/>
  <c r="J26" i="131"/>
  <c r="G26" i="131"/>
  <c r="AA26" i="131" s="1"/>
  <c r="E26" i="131"/>
  <c r="J22" i="131"/>
  <c r="AD22" i="131" s="1"/>
  <c r="M27" i="131"/>
  <c r="L27" i="131"/>
  <c r="K27" i="131"/>
  <c r="J27" i="131"/>
  <c r="AD27" i="131" s="1"/>
  <c r="M23" i="131"/>
  <c r="L23" i="131"/>
  <c r="K23" i="131"/>
  <c r="J23" i="131"/>
  <c r="AD23" i="131" s="1"/>
  <c r="M22" i="131"/>
  <c r="L22" i="131"/>
  <c r="K22" i="131"/>
  <c r="M20" i="131"/>
  <c r="L20" i="131"/>
  <c r="K20" i="131"/>
  <c r="J20" i="131"/>
  <c r="AD20" i="131" s="1"/>
  <c r="M19" i="131"/>
  <c r="L19" i="131"/>
  <c r="K19" i="131"/>
  <c r="J19" i="131"/>
  <c r="AD19" i="131" s="1"/>
  <c r="M16" i="131"/>
  <c r="L16" i="131"/>
  <c r="K16" i="131"/>
  <c r="J16" i="131"/>
  <c r="M15" i="131"/>
  <c r="L15" i="131"/>
  <c r="K15" i="131"/>
  <c r="J15" i="131"/>
  <c r="AD15" i="131" s="1"/>
  <c r="M14" i="131"/>
  <c r="L14" i="131"/>
  <c r="K14" i="131"/>
  <c r="J14" i="131"/>
  <c r="AD14" i="131" s="1"/>
  <c r="M13" i="131"/>
  <c r="M17" i="131" s="1"/>
  <c r="L13" i="131"/>
  <c r="K13" i="131"/>
  <c r="J13" i="131"/>
  <c r="AD13" i="131" s="1"/>
  <c r="G27" i="131"/>
  <c r="AA27" i="131" s="1"/>
  <c r="E27" i="131"/>
  <c r="Z27" i="131" s="1"/>
  <c r="G23" i="131"/>
  <c r="AA23" i="131" s="1"/>
  <c r="E23" i="131"/>
  <c r="Z23" i="131" s="1"/>
  <c r="G22" i="131"/>
  <c r="AA22" i="131" s="1"/>
  <c r="E22" i="131"/>
  <c r="Y22" i="131" s="1"/>
  <c r="G20" i="131"/>
  <c r="AA20" i="131" s="1"/>
  <c r="E20" i="131"/>
  <c r="G19" i="131"/>
  <c r="AA19" i="131" s="1"/>
  <c r="E19" i="131"/>
  <c r="G16" i="131"/>
  <c r="AA16" i="131" s="1"/>
  <c r="E16" i="131"/>
  <c r="Z16" i="131" s="1"/>
  <c r="G15" i="131"/>
  <c r="AA15" i="131" s="1"/>
  <c r="E15" i="131"/>
  <c r="Y15" i="131" s="1"/>
  <c r="G14" i="131"/>
  <c r="E14" i="131"/>
  <c r="G13" i="131"/>
  <c r="AA13" i="131" s="1"/>
  <c r="E13" i="131"/>
  <c r="M12" i="131"/>
  <c r="L12" i="131"/>
  <c r="K12" i="131"/>
  <c r="J12" i="131"/>
  <c r="G12" i="131"/>
  <c r="AA12" i="131" s="1"/>
  <c r="E12" i="131"/>
  <c r="M10" i="131"/>
  <c r="L10" i="131"/>
  <c r="L11" i="131" s="1"/>
  <c r="K10" i="131"/>
  <c r="J10" i="131"/>
  <c r="G10" i="131"/>
  <c r="G11" i="131" s="1"/>
  <c r="AA11" i="131" s="1"/>
  <c r="E10" i="131"/>
  <c r="AQ108" i="131"/>
  <c r="AP108" i="131"/>
  <c r="AO108" i="131"/>
  <c r="AN108" i="131"/>
  <c r="AL108" i="131"/>
  <c r="AK108" i="131"/>
  <c r="AJ108" i="131"/>
  <c r="AI108" i="131"/>
  <c r="AG108" i="131"/>
  <c r="AF108" i="131"/>
  <c r="AE108" i="131"/>
  <c r="AD108" i="131"/>
  <c r="AA108" i="131"/>
  <c r="Z108" i="131"/>
  <c r="Y108" i="131"/>
  <c r="AQ107" i="131"/>
  <c r="AP107" i="131"/>
  <c r="AO107" i="131"/>
  <c r="AN107" i="131"/>
  <c r="AL107" i="131"/>
  <c r="AK107" i="131"/>
  <c r="AJ107" i="131"/>
  <c r="AI107" i="131"/>
  <c r="AG107" i="131"/>
  <c r="AF107" i="131"/>
  <c r="AE107" i="131"/>
  <c r="AD107" i="131"/>
  <c r="AA107" i="131"/>
  <c r="Z107" i="131"/>
  <c r="Y107" i="131"/>
  <c r="AQ105" i="131"/>
  <c r="AP105" i="131"/>
  <c r="AO105" i="131"/>
  <c r="AN105" i="131"/>
  <c r="AA105" i="131"/>
  <c r="Z105" i="131"/>
  <c r="Y105" i="131"/>
  <c r="AQ104" i="131"/>
  <c r="AP104" i="131"/>
  <c r="AO104" i="131"/>
  <c r="AN104" i="131"/>
  <c r="AL104" i="131"/>
  <c r="AK104" i="131"/>
  <c r="AJ104" i="131"/>
  <c r="AI104" i="131"/>
  <c r="AG104" i="131"/>
  <c r="AF104" i="131"/>
  <c r="AE104" i="131"/>
  <c r="AD104" i="131"/>
  <c r="AA104" i="131"/>
  <c r="Z104" i="131"/>
  <c r="Y104" i="131"/>
  <c r="AQ102" i="131"/>
  <c r="AP102" i="131"/>
  <c r="AO102" i="131"/>
  <c r="AN102" i="131"/>
  <c r="AA102" i="131"/>
  <c r="Z102" i="131"/>
  <c r="Y102" i="131"/>
  <c r="AQ101" i="131"/>
  <c r="AP101" i="131"/>
  <c r="AO101" i="131"/>
  <c r="AN101" i="131"/>
  <c r="AL101" i="131"/>
  <c r="AK101" i="131"/>
  <c r="AJ101" i="131"/>
  <c r="AI101" i="131"/>
  <c r="AG101" i="131"/>
  <c r="AF101" i="131"/>
  <c r="AE101" i="131"/>
  <c r="AD101" i="131"/>
  <c r="AA101" i="131"/>
  <c r="Z101" i="131"/>
  <c r="Y101" i="131"/>
  <c r="AQ100" i="131"/>
  <c r="AP100" i="131"/>
  <c r="AO100" i="131"/>
  <c r="AN100" i="131"/>
  <c r="AL100" i="131"/>
  <c r="AK100" i="131"/>
  <c r="AJ100" i="131"/>
  <c r="AI100" i="131"/>
  <c r="AG100" i="131"/>
  <c r="AF100" i="131"/>
  <c r="AE100" i="131"/>
  <c r="AD100" i="131"/>
  <c r="AA100" i="131"/>
  <c r="Z100" i="131"/>
  <c r="Y100" i="131"/>
  <c r="AQ99" i="131"/>
  <c r="AP99" i="131"/>
  <c r="AO99" i="131"/>
  <c r="AN99" i="131"/>
  <c r="AA99" i="131"/>
  <c r="Z99" i="131"/>
  <c r="Y99" i="131"/>
  <c r="AQ98" i="131"/>
  <c r="AP98" i="131"/>
  <c r="AO98" i="131"/>
  <c r="AN98" i="131"/>
  <c r="AA98" i="131"/>
  <c r="Z98" i="131"/>
  <c r="Y98" i="131"/>
  <c r="R98" i="131"/>
  <c r="Q98" i="131"/>
  <c r="Q99" i="131" s="1"/>
  <c r="Q102" i="131" s="1"/>
  <c r="Q105" i="131" s="1"/>
  <c r="P98" i="131"/>
  <c r="O98" i="131"/>
  <c r="O99" i="131" s="1"/>
  <c r="O102" i="131" s="1"/>
  <c r="AI102" i="131" s="1"/>
  <c r="L98" i="131"/>
  <c r="AG98" i="131" s="1"/>
  <c r="K98" i="131"/>
  <c r="J98" i="131"/>
  <c r="J99" i="131" s="1"/>
  <c r="AD99" i="131" s="1"/>
  <c r="AQ97" i="131"/>
  <c r="AP97" i="131"/>
  <c r="AO97" i="131"/>
  <c r="AN97" i="131"/>
  <c r="AL97" i="131"/>
  <c r="AK97" i="131"/>
  <c r="AJ97" i="131"/>
  <c r="AI97" i="131"/>
  <c r="AG97" i="131"/>
  <c r="AF97" i="131"/>
  <c r="AE97" i="131"/>
  <c r="AD97" i="131"/>
  <c r="AB97" i="131"/>
  <c r="AA97" i="131"/>
  <c r="Z97" i="131"/>
  <c r="Y97" i="131"/>
  <c r="AQ96" i="131"/>
  <c r="AP96" i="131"/>
  <c r="AO96" i="131"/>
  <c r="AN96" i="131"/>
  <c r="AL96" i="131"/>
  <c r="AK96" i="131"/>
  <c r="AJ96" i="131"/>
  <c r="AI96" i="131"/>
  <c r="AG96" i="131"/>
  <c r="AF96" i="131"/>
  <c r="AE96" i="131"/>
  <c r="AD96" i="131"/>
  <c r="AA96" i="131"/>
  <c r="Z96" i="131"/>
  <c r="Y96" i="131"/>
  <c r="AQ95" i="131"/>
  <c r="AP95" i="131"/>
  <c r="AO95" i="131"/>
  <c r="AN95" i="131"/>
  <c r="AL95" i="131"/>
  <c r="AK95" i="131"/>
  <c r="AJ95" i="131"/>
  <c r="AI95" i="131"/>
  <c r="AG95" i="131"/>
  <c r="AF95" i="131"/>
  <c r="AE95" i="131"/>
  <c r="AD95" i="131"/>
  <c r="AA95" i="131"/>
  <c r="Z95" i="131"/>
  <c r="Y95" i="131"/>
  <c r="AQ94" i="131"/>
  <c r="AP94" i="131"/>
  <c r="AO94" i="131"/>
  <c r="AN94" i="131"/>
  <c r="AL94" i="131"/>
  <c r="AK94" i="131"/>
  <c r="AJ94" i="131"/>
  <c r="AI94" i="131"/>
  <c r="AG94" i="131"/>
  <c r="AF94" i="131"/>
  <c r="AE94" i="131"/>
  <c r="AD94" i="131"/>
  <c r="AA94" i="131"/>
  <c r="Z94" i="131"/>
  <c r="Y94" i="131"/>
  <c r="AQ93" i="131"/>
  <c r="AP93" i="131"/>
  <c r="AO93" i="131"/>
  <c r="AN93" i="131"/>
  <c r="AL93" i="131"/>
  <c r="AK93" i="131"/>
  <c r="AJ93" i="131"/>
  <c r="AI93" i="131"/>
  <c r="AG93" i="131"/>
  <c r="AF93" i="131"/>
  <c r="AE93" i="131"/>
  <c r="AD93" i="131"/>
  <c r="AA93" i="131"/>
  <c r="Z93" i="131"/>
  <c r="Y93" i="131"/>
  <c r="AQ92" i="131"/>
  <c r="AP92" i="131"/>
  <c r="AO92" i="131"/>
  <c r="AN92" i="131"/>
  <c r="AA92" i="131"/>
  <c r="Z92" i="131"/>
  <c r="Y92" i="131"/>
  <c r="R92" i="131"/>
  <c r="Q92" i="131"/>
  <c r="P92" i="131"/>
  <c r="O92" i="131"/>
  <c r="AI92" i="131" s="1"/>
  <c r="L92" i="131"/>
  <c r="AG92" i="131" s="1"/>
  <c r="K92" i="131"/>
  <c r="J92" i="131"/>
  <c r="AD92" i="131" s="1"/>
  <c r="AQ91" i="131"/>
  <c r="AP91" i="131"/>
  <c r="AO91" i="131"/>
  <c r="AN91" i="131"/>
  <c r="AL91" i="131"/>
  <c r="AK91" i="131"/>
  <c r="AJ91" i="131"/>
  <c r="AI91" i="131"/>
  <c r="AG91" i="131"/>
  <c r="AF91" i="131"/>
  <c r="AE91" i="131"/>
  <c r="AD91" i="131"/>
  <c r="AA91" i="131"/>
  <c r="Z91" i="131"/>
  <c r="Y91" i="131"/>
  <c r="AQ90" i="131"/>
  <c r="AP90" i="131"/>
  <c r="AO90" i="131"/>
  <c r="AN90" i="131"/>
  <c r="AL90" i="131"/>
  <c r="AK90" i="131"/>
  <c r="AJ90" i="131"/>
  <c r="AI90" i="131"/>
  <c r="AG90" i="131"/>
  <c r="AF90" i="131"/>
  <c r="AE90" i="131"/>
  <c r="AD90" i="131"/>
  <c r="AA90" i="131"/>
  <c r="Z90" i="131"/>
  <c r="Y90" i="131"/>
  <c r="AO88" i="131"/>
  <c r="AJ88" i="131"/>
  <c r="AE88" i="131"/>
  <c r="Z88" i="131"/>
  <c r="U88" i="131"/>
  <c r="P88" i="131"/>
  <c r="K88" i="131"/>
  <c r="F88" i="131"/>
  <c r="AQ83" i="131"/>
  <c r="AP83" i="131"/>
  <c r="AO83" i="131"/>
  <c r="AN83" i="131"/>
  <c r="AL83" i="131"/>
  <c r="AK83" i="131"/>
  <c r="AJ83" i="131"/>
  <c r="AI83" i="131"/>
  <c r="AG83" i="131"/>
  <c r="AF83" i="131"/>
  <c r="AE83" i="131"/>
  <c r="AD83" i="131"/>
  <c r="AA83" i="131"/>
  <c r="Z83" i="131"/>
  <c r="Y83" i="131"/>
  <c r="AQ82" i="131"/>
  <c r="AP82" i="131"/>
  <c r="AO82" i="131"/>
  <c r="AN82" i="131"/>
  <c r="AL82" i="131"/>
  <c r="AG82" i="131"/>
  <c r="AF82" i="131"/>
  <c r="AE82" i="131"/>
  <c r="AD82" i="131"/>
  <c r="AA82" i="131"/>
  <c r="Z82" i="131"/>
  <c r="Y82" i="131"/>
  <c r="P82" i="131"/>
  <c r="AK82" i="131" s="1"/>
  <c r="O82" i="131"/>
  <c r="AI82" i="131" s="1"/>
  <c r="AA77" i="131"/>
  <c r="Z77" i="131"/>
  <c r="Y77" i="131"/>
  <c r="AQ76" i="131"/>
  <c r="AP76" i="131"/>
  <c r="AO76" i="131"/>
  <c r="AN76" i="131"/>
  <c r="AL76" i="131"/>
  <c r="AK76" i="131"/>
  <c r="AJ76" i="131"/>
  <c r="AI76" i="131"/>
  <c r="AG76" i="131"/>
  <c r="AF76" i="131"/>
  <c r="AE76" i="131"/>
  <c r="AD76" i="131"/>
  <c r="AA76" i="131"/>
  <c r="Z76" i="131"/>
  <c r="Y76" i="131"/>
  <c r="AQ75" i="131"/>
  <c r="AP75" i="131"/>
  <c r="AO75" i="131"/>
  <c r="AN75" i="131"/>
  <c r="AL75" i="131"/>
  <c r="AK75" i="131"/>
  <c r="AJ75" i="131"/>
  <c r="AI75" i="131"/>
  <c r="AG75" i="131"/>
  <c r="AF75" i="131"/>
  <c r="AE75" i="131"/>
  <c r="AD75" i="131"/>
  <c r="AA75" i="131"/>
  <c r="Z75" i="131"/>
  <c r="Y75" i="131"/>
  <c r="AA74" i="131"/>
  <c r="Z74" i="131"/>
  <c r="Y74" i="131"/>
  <c r="AQ73" i="131"/>
  <c r="AP73" i="131"/>
  <c r="AO73" i="131"/>
  <c r="AN73" i="131"/>
  <c r="AL73" i="131"/>
  <c r="AK73" i="131"/>
  <c r="AJ73" i="131"/>
  <c r="AI73" i="131"/>
  <c r="AG73" i="131"/>
  <c r="AF73" i="131"/>
  <c r="AE73" i="131"/>
  <c r="AD73" i="131"/>
  <c r="AA73" i="131"/>
  <c r="Z73" i="131"/>
  <c r="Y73" i="131"/>
  <c r="AQ72" i="131"/>
  <c r="AP72" i="131"/>
  <c r="AO72" i="131"/>
  <c r="AN72" i="131"/>
  <c r="AL72" i="131"/>
  <c r="AK72" i="131"/>
  <c r="AJ72" i="131"/>
  <c r="AI72" i="131"/>
  <c r="AG72" i="131"/>
  <c r="AF72" i="131"/>
  <c r="AE72" i="131"/>
  <c r="AD72" i="131"/>
  <c r="AA72" i="131"/>
  <c r="Z72" i="131"/>
  <c r="Y72" i="131"/>
  <c r="AA71" i="131"/>
  <c r="Z71" i="131"/>
  <c r="Y71" i="131"/>
  <c r="J71" i="131"/>
  <c r="AD70" i="131"/>
  <c r="AA70" i="131"/>
  <c r="Z70" i="131"/>
  <c r="Y70" i="131"/>
  <c r="W70" i="131"/>
  <c r="V70" i="131"/>
  <c r="U70" i="131"/>
  <c r="T70" i="131"/>
  <c r="AN70" i="131" s="1"/>
  <c r="R70" i="131"/>
  <c r="Q70" i="131"/>
  <c r="P70" i="131"/>
  <c r="O70" i="131"/>
  <c r="AI70" i="131" s="1"/>
  <c r="L70" i="131"/>
  <c r="AG70" i="131" s="1"/>
  <c r="K70" i="131"/>
  <c r="AE70" i="131" s="1"/>
  <c r="AQ69" i="131"/>
  <c r="AP69" i="131"/>
  <c r="AO69" i="131"/>
  <c r="AN69" i="131"/>
  <c r="AL69" i="131"/>
  <c r="AK69" i="131"/>
  <c r="AJ69" i="131"/>
  <c r="AI69" i="131"/>
  <c r="AG69" i="131"/>
  <c r="AF69" i="131"/>
  <c r="AE69" i="131"/>
  <c r="AD69" i="131"/>
  <c r="AB69" i="131"/>
  <c r="AA69" i="131"/>
  <c r="Z69" i="131"/>
  <c r="Y69" i="131"/>
  <c r="AQ68" i="131"/>
  <c r="AP68" i="131"/>
  <c r="AO68" i="131"/>
  <c r="AN68" i="131"/>
  <c r="AL68" i="131"/>
  <c r="AK68" i="131"/>
  <c r="AJ68" i="131"/>
  <c r="AI68" i="131"/>
  <c r="AG68" i="131"/>
  <c r="AF68" i="131"/>
  <c r="AE68" i="131"/>
  <c r="AD68" i="131"/>
  <c r="AA68" i="131"/>
  <c r="Z68" i="131"/>
  <c r="Y68" i="131"/>
  <c r="AQ67" i="131"/>
  <c r="AP67" i="131"/>
  <c r="AO67" i="131"/>
  <c r="AN67" i="131"/>
  <c r="AL67" i="131"/>
  <c r="AK67" i="131"/>
  <c r="AJ67" i="131"/>
  <c r="AI67" i="131"/>
  <c r="AG67" i="131"/>
  <c r="AF67" i="131"/>
  <c r="AE67" i="131"/>
  <c r="AD67" i="131"/>
  <c r="AA67" i="131"/>
  <c r="Z67" i="131"/>
  <c r="Y67" i="131"/>
  <c r="AQ66" i="131"/>
  <c r="AP66" i="131"/>
  <c r="AO66" i="131"/>
  <c r="AN66" i="131"/>
  <c r="AL66" i="131"/>
  <c r="AK66" i="131"/>
  <c r="AJ66" i="131"/>
  <c r="AI66" i="131"/>
  <c r="AG66" i="131"/>
  <c r="AF66" i="131"/>
  <c r="AE66" i="131"/>
  <c r="AD66" i="131"/>
  <c r="AA66" i="131"/>
  <c r="Z66" i="131"/>
  <c r="Y66" i="131"/>
  <c r="AG65" i="131"/>
  <c r="AF65" i="131"/>
  <c r="AE65" i="131"/>
  <c r="AD65" i="131"/>
  <c r="AA65" i="131"/>
  <c r="Z65" i="131"/>
  <c r="Y65" i="131"/>
  <c r="W65" i="131"/>
  <c r="V65" i="131"/>
  <c r="U65" i="131"/>
  <c r="T65" i="131"/>
  <c r="R65" i="131"/>
  <c r="Q65" i="131"/>
  <c r="P65" i="131"/>
  <c r="O65" i="131"/>
  <c r="AI65" i="131" s="1"/>
  <c r="AA64" i="131"/>
  <c r="Z64" i="131"/>
  <c r="Y64" i="131"/>
  <c r="L64" i="131"/>
  <c r="K64" i="131"/>
  <c r="K79" i="131" s="1"/>
  <c r="J64" i="131"/>
  <c r="AD64" i="131" s="1"/>
  <c r="AG63" i="131"/>
  <c r="AF63" i="131"/>
  <c r="AE63" i="131"/>
  <c r="AD63" i="131"/>
  <c r="AA63" i="131"/>
  <c r="Z63" i="131"/>
  <c r="Y63" i="131"/>
  <c r="W63" i="131"/>
  <c r="V63" i="131"/>
  <c r="U63" i="131"/>
  <c r="U64" i="131" s="1"/>
  <c r="T63" i="131"/>
  <c r="R63" i="131"/>
  <c r="Q63" i="131"/>
  <c r="Q64" i="131" s="1"/>
  <c r="P63" i="131"/>
  <c r="O63" i="131"/>
  <c r="O64" i="131" s="1"/>
  <c r="AQ62" i="131"/>
  <c r="AP62" i="131"/>
  <c r="AO62" i="131"/>
  <c r="AN62" i="131"/>
  <c r="AL62" i="131"/>
  <c r="AK62" i="131"/>
  <c r="AJ62" i="131"/>
  <c r="AI62" i="131"/>
  <c r="AG62" i="131"/>
  <c r="AF62" i="131"/>
  <c r="AE62" i="131"/>
  <c r="AD62" i="131"/>
  <c r="AA62" i="131"/>
  <c r="Z62" i="131"/>
  <c r="Y62" i="131"/>
  <c r="AO60" i="131"/>
  <c r="AJ60" i="131"/>
  <c r="AE60" i="131"/>
  <c r="Z60" i="131"/>
  <c r="U60" i="131"/>
  <c r="P60" i="131"/>
  <c r="K60" i="131"/>
  <c r="F60" i="131"/>
  <c r="AQ56" i="131"/>
  <c r="AP56" i="131"/>
  <c r="AO56" i="131"/>
  <c r="AN56" i="131"/>
  <c r="AL56" i="131"/>
  <c r="AK56" i="131"/>
  <c r="AJ56" i="131"/>
  <c r="AI56" i="131"/>
  <c r="AG56" i="131"/>
  <c r="AF56" i="131"/>
  <c r="AE56" i="131"/>
  <c r="AD56" i="131"/>
  <c r="AA56" i="131"/>
  <c r="Z56" i="131"/>
  <c r="Y56" i="131"/>
  <c r="AQ55" i="131"/>
  <c r="AP55" i="131"/>
  <c r="AO55" i="131"/>
  <c r="AN55" i="131"/>
  <c r="AL55" i="131"/>
  <c r="AK55" i="131"/>
  <c r="AJ55" i="131"/>
  <c r="AI55" i="131"/>
  <c r="AG55" i="131"/>
  <c r="AF55" i="131"/>
  <c r="AE55" i="131"/>
  <c r="AD55" i="131"/>
  <c r="AA55" i="131"/>
  <c r="Z55" i="131"/>
  <c r="Y55" i="131"/>
  <c r="AA50" i="131"/>
  <c r="Z50" i="131"/>
  <c r="Y50" i="131"/>
  <c r="AQ49" i="131"/>
  <c r="AP49" i="131"/>
  <c r="AO49" i="131"/>
  <c r="AN49" i="131"/>
  <c r="AL49" i="131"/>
  <c r="AK49" i="131"/>
  <c r="AJ49" i="131"/>
  <c r="AI49" i="131"/>
  <c r="AG49" i="131"/>
  <c r="AF49" i="131"/>
  <c r="AE49" i="131"/>
  <c r="AD49" i="131"/>
  <c r="AA49" i="131"/>
  <c r="Z49" i="131"/>
  <c r="Y49" i="131"/>
  <c r="AQ48" i="131"/>
  <c r="AP48" i="131"/>
  <c r="AO48" i="131"/>
  <c r="AN48" i="131"/>
  <c r="AL48" i="131"/>
  <c r="AK48" i="131"/>
  <c r="AJ48" i="131"/>
  <c r="AI48" i="131"/>
  <c r="AG48" i="131"/>
  <c r="AF48" i="131"/>
  <c r="AE48" i="131"/>
  <c r="AD48" i="131"/>
  <c r="AA48" i="131"/>
  <c r="Z48" i="131"/>
  <c r="Y48" i="131"/>
  <c r="AA47" i="131"/>
  <c r="Z47" i="131"/>
  <c r="Y47" i="131"/>
  <c r="AQ46" i="131"/>
  <c r="AP46" i="131"/>
  <c r="AO46" i="131"/>
  <c r="AN46" i="131"/>
  <c r="AL46" i="131"/>
  <c r="AK46" i="131"/>
  <c r="AJ46" i="131"/>
  <c r="AI46" i="131"/>
  <c r="AG46" i="131"/>
  <c r="AF46" i="131"/>
  <c r="AE46" i="131"/>
  <c r="AD46" i="131"/>
  <c r="AA46" i="131"/>
  <c r="Z46" i="131"/>
  <c r="Y46" i="131"/>
  <c r="AQ45" i="131"/>
  <c r="AP45" i="131"/>
  <c r="AO45" i="131"/>
  <c r="AN45" i="131"/>
  <c r="AL45" i="131"/>
  <c r="AK45" i="131"/>
  <c r="AJ45" i="131"/>
  <c r="AI45" i="131"/>
  <c r="AG45" i="131"/>
  <c r="AF45" i="131"/>
  <c r="AE45" i="131"/>
  <c r="AD45" i="131"/>
  <c r="AA45" i="131"/>
  <c r="Z45" i="131"/>
  <c r="Y45" i="131"/>
  <c r="AA44" i="131"/>
  <c r="Z44" i="131"/>
  <c r="Y44" i="131"/>
  <c r="AQ43" i="131"/>
  <c r="AP43" i="131"/>
  <c r="AO43" i="131"/>
  <c r="AN43" i="131"/>
  <c r="AA43" i="131"/>
  <c r="Z43" i="131"/>
  <c r="Y43" i="131"/>
  <c r="R43" i="131"/>
  <c r="Q43" i="131"/>
  <c r="P43" i="131"/>
  <c r="O43" i="131"/>
  <c r="AI43" i="131" s="1"/>
  <c r="L43" i="131"/>
  <c r="L44" i="131" s="1"/>
  <c r="K43" i="131"/>
  <c r="K44" i="131" s="1"/>
  <c r="J43" i="131"/>
  <c r="AD43" i="131" s="1"/>
  <c r="AQ42" i="131"/>
  <c r="AP42" i="131"/>
  <c r="AO42" i="131"/>
  <c r="AN42" i="131"/>
  <c r="AL42" i="131"/>
  <c r="AK42" i="131"/>
  <c r="AJ42" i="131"/>
  <c r="AI42" i="131"/>
  <c r="AG42" i="131"/>
  <c r="AF42" i="131"/>
  <c r="AE42" i="131"/>
  <c r="AD42" i="131"/>
  <c r="AB42" i="131"/>
  <c r="AA42" i="131"/>
  <c r="Z42" i="131"/>
  <c r="Y42" i="131"/>
  <c r="AQ41" i="131"/>
  <c r="AP41" i="131"/>
  <c r="AO41" i="131"/>
  <c r="AN41" i="131"/>
  <c r="AL41" i="131"/>
  <c r="AK41" i="131"/>
  <c r="AJ41" i="131"/>
  <c r="AI41" i="131"/>
  <c r="AG41" i="131"/>
  <c r="AF41" i="131"/>
  <c r="AE41" i="131"/>
  <c r="AD41" i="131"/>
  <c r="AA41" i="131"/>
  <c r="Z41" i="131"/>
  <c r="Y41" i="131"/>
  <c r="AQ40" i="131"/>
  <c r="AP40" i="131"/>
  <c r="AO40" i="131"/>
  <c r="AN40" i="131"/>
  <c r="AL40" i="131"/>
  <c r="AK40" i="131"/>
  <c r="AJ40" i="131"/>
  <c r="AI40" i="131"/>
  <c r="AG40" i="131"/>
  <c r="AF40" i="131"/>
  <c r="AE40" i="131"/>
  <c r="AD40" i="131"/>
  <c r="AA40" i="131"/>
  <c r="Z40" i="131"/>
  <c r="Y40" i="131"/>
  <c r="AQ39" i="131"/>
  <c r="AP39" i="131"/>
  <c r="AO39" i="131"/>
  <c r="AN39" i="131"/>
  <c r="AL39" i="131"/>
  <c r="AK39" i="131"/>
  <c r="AJ39" i="131"/>
  <c r="AI39" i="131"/>
  <c r="AG39" i="131"/>
  <c r="AF39" i="131"/>
  <c r="AE39" i="131"/>
  <c r="AD39" i="131"/>
  <c r="AA39" i="131"/>
  <c r="Z39" i="131"/>
  <c r="Y39" i="131"/>
  <c r="AG38" i="131"/>
  <c r="AF38" i="131"/>
  <c r="AE38" i="131"/>
  <c r="AD38" i="131"/>
  <c r="AA38" i="131"/>
  <c r="Z38" i="131"/>
  <c r="Y38" i="131"/>
  <c r="W38" i="131"/>
  <c r="W44" i="131" s="1"/>
  <c r="W47" i="131" s="1"/>
  <c r="V38" i="131"/>
  <c r="U38" i="131"/>
  <c r="T38" i="131"/>
  <c r="AN38" i="131" s="1"/>
  <c r="R38" i="131"/>
  <c r="R44" i="131" s="1"/>
  <c r="R47" i="131" s="1"/>
  <c r="R50" i="131" s="1"/>
  <c r="Q38" i="131"/>
  <c r="P38" i="131"/>
  <c r="O38" i="131"/>
  <c r="AA37" i="131"/>
  <c r="Z37" i="131"/>
  <c r="Y37" i="131"/>
  <c r="L37" i="131"/>
  <c r="K37" i="131"/>
  <c r="K52" i="131" s="1"/>
  <c r="J37" i="131"/>
  <c r="AG36" i="131"/>
  <c r="AF36" i="131"/>
  <c r="AE36" i="131"/>
  <c r="AD36" i="131"/>
  <c r="AA36" i="131"/>
  <c r="Z36" i="131"/>
  <c r="Y36" i="131"/>
  <c r="W36" i="131"/>
  <c r="W37" i="131" s="1"/>
  <c r="V36" i="131"/>
  <c r="U36" i="131"/>
  <c r="U37" i="131" s="1"/>
  <c r="T36" i="131"/>
  <c r="T37" i="131" s="1"/>
  <c r="R36" i="131"/>
  <c r="R37" i="131" s="1"/>
  <c r="Q36" i="131"/>
  <c r="P36" i="131"/>
  <c r="O36" i="131"/>
  <c r="O37" i="131" s="1"/>
  <c r="AI37" i="131" s="1"/>
  <c r="AQ35" i="131"/>
  <c r="AP35" i="131"/>
  <c r="AO35" i="131"/>
  <c r="AN35" i="131"/>
  <c r="AL35" i="131"/>
  <c r="AK35" i="131"/>
  <c r="AJ35" i="131"/>
  <c r="AI35" i="131"/>
  <c r="AG35" i="131"/>
  <c r="AF35" i="131"/>
  <c r="AE35" i="131"/>
  <c r="AD35" i="131"/>
  <c r="AA35" i="131"/>
  <c r="Z35" i="131"/>
  <c r="Y35" i="131"/>
  <c r="AO33" i="131"/>
  <c r="AJ33" i="131"/>
  <c r="AE33" i="131"/>
  <c r="Z33" i="131"/>
  <c r="U33" i="131"/>
  <c r="P33" i="131"/>
  <c r="K33" i="131"/>
  <c r="F33" i="131"/>
  <c r="AQ27" i="131"/>
  <c r="AP27" i="131"/>
  <c r="AO27" i="131"/>
  <c r="AN27" i="131"/>
  <c r="AL27" i="131"/>
  <c r="AK27" i="131"/>
  <c r="AJ27" i="131"/>
  <c r="AI27" i="131"/>
  <c r="AQ26" i="131"/>
  <c r="AP26" i="131"/>
  <c r="AO26" i="131"/>
  <c r="AN26" i="131"/>
  <c r="AL26" i="131"/>
  <c r="AK26" i="131"/>
  <c r="AJ26" i="131"/>
  <c r="AI26" i="131"/>
  <c r="Z26" i="131"/>
  <c r="Y26" i="131"/>
  <c r="AQ23" i="131"/>
  <c r="AP23" i="131"/>
  <c r="AO23" i="131"/>
  <c r="AN23" i="131"/>
  <c r="AL23" i="131"/>
  <c r="AK23" i="131"/>
  <c r="AJ23" i="131"/>
  <c r="AI23" i="131"/>
  <c r="AQ22" i="131"/>
  <c r="AP22" i="131"/>
  <c r="AO22" i="131"/>
  <c r="AN22" i="131"/>
  <c r="AL22" i="131"/>
  <c r="AK22" i="131"/>
  <c r="AJ22" i="131"/>
  <c r="AI22" i="131"/>
  <c r="AQ20" i="131"/>
  <c r="AP20" i="131"/>
  <c r="AO20" i="131"/>
  <c r="AN20" i="131"/>
  <c r="AL20" i="131"/>
  <c r="AK20" i="131"/>
  <c r="AJ20" i="131"/>
  <c r="AI20" i="131"/>
  <c r="AQ19" i="131"/>
  <c r="AP19" i="131"/>
  <c r="AO19" i="131"/>
  <c r="AN19" i="131"/>
  <c r="AL19" i="131"/>
  <c r="AK19" i="131"/>
  <c r="AJ19" i="131"/>
  <c r="AI19" i="131"/>
  <c r="W17" i="131"/>
  <c r="W18" i="131" s="1"/>
  <c r="V17" i="131"/>
  <c r="U17" i="131"/>
  <c r="T17" i="131"/>
  <c r="T18" i="131" s="1"/>
  <c r="R17" i="131"/>
  <c r="R18" i="131" s="1"/>
  <c r="R21" i="131" s="1"/>
  <c r="R24" i="131" s="1"/>
  <c r="Q17" i="131"/>
  <c r="P17" i="131"/>
  <c r="P18" i="131" s="1"/>
  <c r="O17" i="131"/>
  <c r="AQ16" i="131"/>
  <c r="AP16" i="131"/>
  <c r="AO16" i="131"/>
  <c r="AN16" i="131"/>
  <c r="AL16" i="131"/>
  <c r="AK16" i="131"/>
  <c r="AJ16" i="131"/>
  <c r="AI16" i="131"/>
  <c r="AQ15" i="131"/>
  <c r="AP15" i="131"/>
  <c r="AO15" i="131"/>
  <c r="AN15" i="131"/>
  <c r="AL15" i="131"/>
  <c r="AK15" i="131"/>
  <c r="AJ15" i="131"/>
  <c r="AI15" i="131"/>
  <c r="AQ14" i="131"/>
  <c r="AP14" i="131"/>
  <c r="AO14" i="131"/>
  <c r="AN14" i="131"/>
  <c r="AL14" i="131"/>
  <c r="AK14" i="131"/>
  <c r="AJ14" i="131"/>
  <c r="AI14" i="131"/>
  <c r="AQ13" i="131"/>
  <c r="AP13" i="131"/>
  <c r="AO13" i="131"/>
  <c r="AN13" i="131"/>
  <c r="AL13" i="131"/>
  <c r="AK13" i="131"/>
  <c r="AJ13" i="131"/>
  <c r="AI13" i="131"/>
  <c r="AQ12" i="131"/>
  <c r="AP12" i="131"/>
  <c r="AO12" i="131"/>
  <c r="AN12" i="131"/>
  <c r="AL12" i="131"/>
  <c r="AK12" i="131"/>
  <c r="AJ12" i="131"/>
  <c r="AI12" i="131"/>
  <c r="W11" i="131"/>
  <c r="V11" i="131"/>
  <c r="U11" i="131"/>
  <c r="T11" i="131"/>
  <c r="AN11" i="131" s="1"/>
  <c r="R11" i="131"/>
  <c r="Q11" i="131"/>
  <c r="P11" i="131"/>
  <c r="O11" i="131"/>
  <c r="AI11" i="131" s="1"/>
  <c r="AQ10" i="131"/>
  <c r="AP10" i="131"/>
  <c r="AO10" i="131"/>
  <c r="AN10" i="131"/>
  <c r="AL10" i="131"/>
  <c r="AK10" i="131"/>
  <c r="AJ10" i="131"/>
  <c r="AI10" i="131"/>
  <c r="AQ9" i="131"/>
  <c r="AP9" i="131"/>
  <c r="AO9" i="131"/>
  <c r="AN9" i="131"/>
  <c r="AL9" i="131"/>
  <c r="AK9" i="131"/>
  <c r="AJ9" i="131"/>
  <c r="AI9" i="131"/>
  <c r="AG9" i="131"/>
  <c r="AF9" i="131"/>
  <c r="AE9" i="131"/>
  <c r="AD9" i="131"/>
  <c r="AA9" i="131"/>
  <c r="Z9" i="131"/>
  <c r="Y9" i="131"/>
  <c r="J102" i="131"/>
  <c r="J105" i="131" s="1"/>
  <c r="AD105" i="131" s="1"/>
  <c r="V44" i="131"/>
  <c r="V47" i="131" s="1"/>
  <c r="V50" i="131" s="1"/>
  <c r="O105" i="131" l="1"/>
  <c r="AI105" i="131" s="1"/>
  <c r="AF26" i="131"/>
  <c r="AP11" i="131"/>
  <c r="Z79" i="131"/>
  <c r="AI98" i="131"/>
  <c r="AI99" i="131"/>
  <c r="P44" i="131"/>
  <c r="P47" i="131" s="1"/>
  <c r="T52" i="131"/>
  <c r="T44" i="131"/>
  <c r="T53" i="131" s="1"/>
  <c r="Y79" i="131"/>
  <c r="AQ38" i="131"/>
  <c r="Y52" i="131"/>
  <c r="AP38" i="131"/>
  <c r="Q44" i="131"/>
  <c r="Q47" i="131" s="1"/>
  <c r="Q50" i="131" s="1"/>
  <c r="AQ47" i="131"/>
  <c r="AQ65" i="131"/>
  <c r="AI63" i="131"/>
  <c r="AK38" i="131"/>
  <c r="U44" i="131"/>
  <c r="AP44" i="131" s="1"/>
  <c r="AL17" i="131"/>
  <c r="AD79" i="131"/>
  <c r="AL11" i="131"/>
  <c r="AL65" i="131"/>
  <c r="AO70" i="131"/>
  <c r="AO36" i="131"/>
  <c r="T71" i="131"/>
  <c r="Q71" i="131"/>
  <c r="Q74" i="131" s="1"/>
  <c r="Q77" i="131" s="1"/>
  <c r="AP70" i="131"/>
  <c r="AJ70" i="131"/>
  <c r="AP17" i="131"/>
  <c r="Z54" i="131"/>
  <c r="AA81" i="131"/>
  <c r="O71" i="131"/>
  <c r="AO38" i="131"/>
  <c r="Z53" i="131"/>
  <c r="Y54" i="131"/>
  <c r="P71" i="131"/>
  <c r="AJ71" i="131" s="1"/>
  <c r="U79" i="131"/>
  <c r="AQ63" i="131"/>
  <c r="AL70" i="131"/>
  <c r="AJ92" i="131"/>
  <c r="AL44" i="131"/>
  <c r="AQ44" i="131"/>
  <c r="V71" i="131"/>
  <c r="V74" i="131" s="1"/>
  <c r="AI36" i="131"/>
  <c r="AA53" i="131"/>
  <c r="AP65" i="131"/>
  <c r="AL63" i="131"/>
  <c r="Z80" i="131"/>
  <c r="AQ70" i="131"/>
  <c r="R71" i="131"/>
  <c r="R74" i="131" s="1"/>
  <c r="U52" i="131"/>
  <c r="AL36" i="131"/>
  <c r="AK36" i="131"/>
  <c r="AJ63" i="131"/>
  <c r="R54" i="131"/>
  <c r="R52" i="131"/>
  <c r="Q79" i="131"/>
  <c r="K47" i="131"/>
  <c r="K54" i="131" s="1"/>
  <c r="K53" i="131"/>
  <c r="AL50" i="131"/>
  <c r="R64" i="131"/>
  <c r="AP63" i="131"/>
  <c r="AJ82" i="131"/>
  <c r="AE98" i="131"/>
  <c r="AJ98" i="131"/>
  <c r="K99" i="131"/>
  <c r="AQ11" i="131"/>
  <c r="AJ36" i="131"/>
  <c r="Q37" i="131"/>
  <c r="Y53" i="131"/>
  <c r="AK63" i="131"/>
  <c r="P64" i="131"/>
  <c r="AK65" i="131"/>
  <c r="Y81" i="131"/>
  <c r="L99" i="131"/>
  <c r="AK98" i="131"/>
  <c r="W64" i="131"/>
  <c r="AK70" i="131"/>
  <c r="K71" i="131"/>
  <c r="K80" i="131" s="1"/>
  <c r="Z81" i="131"/>
  <c r="AK11" i="131"/>
  <c r="AO11" i="131"/>
  <c r="AQ17" i="131"/>
  <c r="V18" i="131"/>
  <c r="V21" i="131" s="1"/>
  <c r="V24" i="131" s="1"/>
  <c r="AL43" i="131"/>
  <c r="AJ65" i="131"/>
  <c r="Y80" i="131"/>
  <c r="AF98" i="131"/>
  <c r="AN71" i="131"/>
  <c r="T74" i="131"/>
  <c r="AI17" i="131"/>
  <c r="O18" i="131"/>
  <c r="AJ18" i="131" s="1"/>
  <c r="AF92" i="131"/>
  <c r="AE92" i="131"/>
  <c r="J106" i="131"/>
  <c r="AD102" i="131"/>
  <c r="AN37" i="131"/>
  <c r="AN52" i="131" s="1"/>
  <c r="AJ43" i="131"/>
  <c r="AK43" i="131"/>
  <c r="AF64" i="131"/>
  <c r="AF79" i="131" s="1"/>
  <c r="AG64" i="131"/>
  <c r="AG79" i="131" s="1"/>
  <c r="L79" i="131"/>
  <c r="W50" i="131"/>
  <c r="AQ50" i="131" s="1"/>
  <c r="W54" i="131"/>
  <c r="L52" i="131"/>
  <c r="AG37" i="131"/>
  <c r="AG52" i="131" s="1"/>
  <c r="AF37" i="131"/>
  <c r="AF52" i="131" s="1"/>
  <c r="AK92" i="131"/>
  <c r="AJ17" i="131"/>
  <c r="AO37" i="131"/>
  <c r="V37" i="131"/>
  <c r="AQ37" i="131" s="1"/>
  <c r="AP36" i="131"/>
  <c r="AG44" i="131"/>
  <c r="L47" i="131"/>
  <c r="L53" i="131"/>
  <c r="AF44" i="131"/>
  <c r="AA54" i="131"/>
  <c r="O79" i="131"/>
  <c r="AI64" i="131"/>
  <c r="AN65" i="131"/>
  <c r="R99" i="131"/>
  <c r="AL98" i="131"/>
  <c r="T21" i="131"/>
  <c r="AN18" i="131"/>
  <c r="W52" i="131"/>
  <c r="O52" i="131"/>
  <c r="AJ38" i="131"/>
  <c r="AG43" i="131"/>
  <c r="AF43" i="131"/>
  <c r="AE26" i="131"/>
  <c r="AD26" i="131"/>
  <c r="AL47" i="131"/>
  <c r="AE64" i="131"/>
  <c r="AE79" i="131" s="1"/>
  <c r="AN36" i="131"/>
  <c r="AI38" i="131"/>
  <c r="AI52" i="131" s="1"/>
  <c r="O44" i="131"/>
  <c r="R53" i="131"/>
  <c r="AN17" i="131"/>
  <c r="AK17" i="131"/>
  <c r="Q18" i="131"/>
  <c r="U18" i="131"/>
  <c r="AO17" i="131"/>
  <c r="P21" i="131"/>
  <c r="P37" i="131"/>
  <c r="Z52" i="131"/>
  <c r="J44" i="131"/>
  <c r="AE44" i="131" s="1"/>
  <c r="AE43" i="131"/>
  <c r="V64" i="131"/>
  <c r="V79" i="131" s="1"/>
  <c r="AL92" i="131"/>
  <c r="AD98" i="131"/>
  <c r="P99" i="131"/>
  <c r="AJ11" i="131"/>
  <c r="W21" i="131"/>
  <c r="J52" i="131"/>
  <c r="AD37" i="131"/>
  <c r="AD52" i="131" s="1"/>
  <c r="AL64" i="131"/>
  <c r="AO65" i="131"/>
  <c r="U71" i="131"/>
  <c r="AP71" i="131" s="1"/>
  <c r="R79" i="131"/>
  <c r="AL38" i="131"/>
  <c r="J79" i="131"/>
  <c r="AE37" i="131"/>
  <c r="AE52" i="131" s="1"/>
  <c r="AQ36" i="131"/>
  <c r="W53" i="131"/>
  <c r="AA52" i="131"/>
  <c r="T64" i="131"/>
  <c r="AO63" i="131"/>
  <c r="AN63" i="131"/>
  <c r="W79" i="131"/>
  <c r="W71" i="131"/>
  <c r="AA79" i="131"/>
  <c r="AF70" i="131"/>
  <c r="L71" i="131"/>
  <c r="AD71" i="131"/>
  <c r="AD80" i="131" s="1"/>
  <c r="J74" i="131"/>
  <c r="J80" i="131"/>
  <c r="F8" i="129"/>
  <c r="F10" i="129"/>
  <c r="F11" i="129"/>
  <c r="F14" i="129"/>
  <c r="F7" i="129"/>
  <c r="F13" i="129"/>
  <c r="F12" i="129"/>
  <c r="AE22" i="131"/>
  <c r="AE27" i="131"/>
  <c r="AE19" i="131"/>
  <c r="Z22" i="131"/>
  <c r="AG22" i="131"/>
  <c r="Z15" i="131"/>
  <c r="Y23" i="131"/>
  <c r="AA10" i="131"/>
  <c r="AG14" i="131"/>
  <c r="AE14" i="131"/>
  <c r="AE15" i="131"/>
  <c r="AE20" i="131"/>
  <c r="Z10" i="131"/>
  <c r="Y10" i="131"/>
  <c r="E11" i="131"/>
  <c r="J11" i="131"/>
  <c r="AD11" i="131" s="1"/>
  <c r="AD10" i="131"/>
  <c r="AF23" i="131"/>
  <c r="AG23" i="131"/>
  <c r="AG12" i="131"/>
  <c r="AG16" i="131"/>
  <c r="AG20" i="131"/>
  <c r="AF27" i="131"/>
  <c r="AG15" i="131"/>
  <c r="AF16" i="131"/>
  <c r="Z14" i="131"/>
  <c r="Y14" i="131"/>
  <c r="AF13" i="131"/>
  <c r="Y16" i="131"/>
  <c r="AA14" i="131"/>
  <c r="G17" i="131"/>
  <c r="AA17" i="131" s="1"/>
  <c r="AG13" i="131"/>
  <c r="AG19" i="131"/>
  <c r="AF19" i="131"/>
  <c r="AE23" i="131"/>
  <c r="J17" i="131"/>
  <c r="AD17" i="131" s="1"/>
  <c r="Y27" i="131"/>
  <c r="AE12" i="131"/>
  <c r="AF14" i="131"/>
  <c r="L17" i="131"/>
  <c r="AG17" i="131" s="1"/>
  <c r="AF15" i="131"/>
  <c r="AF22" i="131"/>
  <c r="AD12" i="131"/>
  <c r="Z13" i="131"/>
  <c r="Y13" i="131"/>
  <c r="E17" i="131"/>
  <c r="Y20" i="131"/>
  <c r="Z20" i="131"/>
  <c r="AG10" i="131"/>
  <c r="M11" i="131"/>
  <c r="AG11" i="131" s="1"/>
  <c r="Y19" i="131"/>
  <c r="Z19" i="131"/>
  <c r="AG27" i="131"/>
  <c r="AF10" i="131"/>
  <c r="AE10" i="131"/>
  <c r="K11" i="131"/>
  <c r="Z12" i="131"/>
  <c r="Y12" i="131"/>
  <c r="AF12" i="131"/>
  <c r="M18" i="131"/>
  <c r="K17" i="131"/>
  <c r="AE13" i="131"/>
  <c r="AE16" i="131"/>
  <c r="AD16" i="131"/>
  <c r="AF20" i="131"/>
  <c r="F18" i="129"/>
  <c r="F15" i="129"/>
  <c r="F17" i="129"/>
  <c r="AA80" i="131"/>
  <c r="K74" i="131" l="1"/>
  <c r="AK44" i="131"/>
  <c r="P74" i="131"/>
  <c r="P77" i="131" s="1"/>
  <c r="AK77" i="131" s="1"/>
  <c r="AO44" i="131"/>
  <c r="AO53" i="131" s="1"/>
  <c r="Q80" i="131"/>
  <c r="AQ54" i="131"/>
  <c r="U53" i="131"/>
  <c r="AL71" i="131"/>
  <c r="T47" i="131"/>
  <c r="AN44" i="131"/>
  <c r="AN53" i="131" s="1"/>
  <c r="AF53" i="131"/>
  <c r="R80" i="131"/>
  <c r="P80" i="131"/>
  <c r="U47" i="131"/>
  <c r="U50" i="131" s="1"/>
  <c r="AQ18" i="131"/>
  <c r="AE53" i="131"/>
  <c r="O74" i="131"/>
  <c r="AI71" i="131"/>
  <c r="AI80" i="131" s="1"/>
  <c r="AK71" i="131"/>
  <c r="V53" i="131"/>
  <c r="O80" i="131"/>
  <c r="AF99" i="131"/>
  <c r="AL79" i="131"/>
  <c r="Q81" i="131"/>
  <c r="AP18" i="131"/>
  <c r="K50" i="131"/>
  <c r="AK37" i="131"/>
  <c r="AK52" i="131" s="1"/>
  <c r="R81" i="131"/>
  <c r="AL74" i="131"/>
  <c r="AL81" i="131" s="1"/>
  <c r="R77" i="131"/>
  <c r="AL77" i="131" s="1"/>
  <c r="AE71" i="131"/>
  <c r="AE80" i="131" s="1"/>
  <c r="AO52" i="131"/>
  <c r="K102" i="131"/>
  <c r="AE99" i="131"/>
  <c r="Q52" i="131"/>
  <c r="Q53" i="131"/>
  <c r="Q54" i="131"/>
  <c r="P79" i="131"/>
  <c r="AJ64" i="131"/>
  <c r="AK64" i="131"/>
  <c r="AQ52" i="131"/>
  <c r="AG99" i="131"/>
  <c r="L102" i="131"/>
  <c r="AL37" i="131"/>
  <c r="AL53" i="131" s="1"/>
  <c r="L74" i="131"/>
  <c r="AF71" i="131"/>
  <c r="AF80" i="131" s="1"/>
  <c r="L80" i="131"/>
  <c r="AG71" i="131"/>
  <c r="AG80" i="131" s="1"/>
  <c r="AN64" i="131"/>
  <c r="AN80" i="131" s="1"/>
  <c r="AO64" i="131"/>
  <c r="AO79" i="131" s="1"/>
  <c r="AK18" i="131"/>
  <c r="Q21" i="131"/>
  <c r="R102" i="131"/>
  <c r="AL99" i="131"/>
  <c r="AJ99" i="131"/>
  <c r="P102" i="131"/>
  <c r="J81" i="131"/>
  <c r="AD74" i="131"/>
  <c r="AD81" i="131" s="1"/>
  <c r="J77" i="131"/>
  <c r="AD77" i="131" s="1"/>
  <c r="AQ21" i="131"/>
  <c r="W24" i="131"/>
  <c r="AQ24" i="131" s="1"/>
  <c r="AK99" i="131"/>
  <c r="AL80" i="131"/>
  <c r="AL18" i="131"/>
  <c r="AN21" i="131"/>
  <c r="T24" i="131"/>
  <c r="AN24" i="131" s="1"/>
  <c r="AF47" i="131"/>
  <c r="AF54" i="131" s="1"/>
  <c r="L50" i="131"/>
  <c r="L54" i="131"/>
  <c r="AG47" i="131"/>
  <c r="AG54" i="131" s="1"/>
  <c r="AP37" i="131"/>
  <c r="V52" i="131"/>
  <c r="V54" i="131"/>
  <c r="AQ53" i="131"/>
  <c r="AN74" i="131"/>
  <c r="T81" i="131"/>
  <c r="T77" i="131"/>
  <c r="AN77" i="131" s="1"/>
  <c r="AQ71" i="131"/>
  <c r="W74" i="131"/>
  <c r="W80" i="131"/>
  <c r="P24" i="131"/>
  <c r="AI44" i="131"/>
  <c r="AI53" i="131" s="1"/>
  <c r="O47" i="131"/>
  <c r="AJ47" i="131" s="1"/>
  <c r="AJ44" i="131"/>
  <c r="O53" i="131"/>
  <c r="P50" i="131"/>
  <c r="P54" i="131"/>
  <c r="AK47" i="131"/>
  <c r="AI79" i="131"/>
  <c r="O21" i="131"/>
  <c r="AI18" i="131"/>
  <c r="J53" i="131"/>
  <c r="AD44" i="131"/>
  <c r="AD53" i="131" s="1"/>
  <c r="J47" i="131"/>
  <c r="AO71" i="131"/>
  <c r="U80" i="131"/>
  <c r="U74" i="131"/>
  <c r="AP74" i="131" s="1"/>
  <c r="AQ64" i="131"/>
  <c r="AQ79" i="131" s="1"/>
  <c r="AP64" i="131"/>
  <c r="AP79" i="131" s="1"/>
  <c r="V80" i="131"/>
  <c r="AJ37" i="131"/>
  <c r="AJ52" i="131" s="1"/>
  <c r="P52" i="131"/>
  <c r="U21" i="131"/>
  <c r="AO18" i="131"/>
  <c r="T79" i="131"/>
  <c r="AG53" i="131"/>
  <c r="K77" i="131"/>
  <c r="AE74" i="131"/>
  <c r="AE81" i="131" s="1"/>
  <c r="K81" i="131"/>
  <c r="P53" i="131"/>
  <c r="V77" i="131"/>
  <c r="V81" i="131"/>
  <c r="T80" i="131"/>
  <c r="AE17" i="131"/>
  <c r="G18" i="131"/>
  <c r="G21" i="131" s="1"/>
  <c r="K18" i="131"/>
  <c r="K21" i="131" s="1"/>
  <c r="J18" i="131"/>
  <c r="J21" i="131" s="1"/>
  <c r="Y11" i="131"/>
  <c r="Z11" i="131"/>
  <c r="M21" i="131"/>
  <c r="AE11" i="131"/>
  <c r="AF11" i="131"/>
  <c r="Y17" i="131"/>
  <c r="Z17" i="131"/>
  <c r="E18" i="131"/>
  <c r="AF17" i="131"/>
  <c r="L18" i="131"/>
  <c r="AG18" i="131" s="1"/>
  <c r="F19" i="129"/>
  <c r="C89" i="131"/>
  <c r="C34" i="131"/>
  <c r="C4" i="131"/>
  <c r="C61" i="131"/>
  <c r="C8" i="131"/>
  <c r="AP47" i="131" l="1"/>
  <c r="AE77" i="131"/>
  <c r="AJ74" i="131"/>
  <c r="AK74" i="131"/>
  <c r="P81" i="131"/>
  <c r="U54" i="131"/>
  <c r="AK80" i="131"/>
  <c r="AO47" i="131"/>
  <c r="AO54" i="131" s="1"/>
  <c r="T50" i="131"/>
  <c r="AN50" i="131" s="1"/>
  <c r="AN47" i="131"/>
  <c r="AN54" i="131" s="1"/>
  <c r="T54" i="131"/>
  <c r="AN81" i="131"/>
  <c r="AJ81" i="131"/>
  <c r="AK53" i="131"/>
  <c r="AK54" i="131"/>
  <c r="AN79" i="131"/>
  <c r="AL54" i="131"/>
  <c r="AQ80" i="131"/>
  <c r="AI74" i="131"/>
  <c r="AI81" i="131" s="1"/>
  <c r="O77" i="131"/>
  <c r="O81" i="131"/>
  <c r="AL52" i="131"/>
  <c r="AP54" i="131"/>
  <c r="AJ80" i="131"/>
  <c r="AJ79" i="131"/>
  <c r="K106" i="131"/>
  <c r="AE102" i="131"/>
  <c r="K105" i="131"/>
  <c r="AE105" i="131" s="1"/>
  <c r="AJ54" i="131"/>
  <c r="AF102" i="131"/>
  <c r="L105" i="131"/>
  <c r="AG102" i="131"/>
  <c r="L106" i="131"/>
  <c r="AK79" i="131"/>
  <c r="AK81" i="131"/>
  <c r="J50" i="131"/>
  <c r="J54" i="131"/>
  <c r="AE47" i="131"/>
  <c r="AE54" i="131" s="1"/>
  <c r="AD47" i="131"/>
  <c r="AD54" i="131" s="1"/>
  <c r="O24" i="131"/>
  <c r="AI24" i="131" s="1"/>
  <c r="AI21" i="131"/>
  <c r="AJ21" i="131"/>
  <c r="AQ74" i="131"/>
  <c r="AQ81" i="131" s="1"/>
  <c r="W81" i="131"/>
  <c r="W77" i="131"/>
  <c r="AQ77" i="131" s="1"/>
  <c r="AP52" i="131"/>
  <c r="AP53" i="131"/>
  <c r="R105" i="131"/>
  <c r="AL105" i="131" s="1"/>
  <c r="AL102" i="131"/>
  <c r="AF74" i="131"/>
  <c r="AF81" i="131" s="1"/>
  <c r="L77" i="131"/>
  <c r="L81" i="131"/>
  <c r="AG74" i="131"/>
  <c r="AG81" i="131" s="1"/>
  <c r="O50" i="131"/>
  <c r="AI50" i="131" s="1"/>
  <c r="AI47" i="131"/>
  <c r="AI54" i="131" s="1"/>
  <c r="O54" i="131"/>
  <c r="P105" i="131"/>
  <c r="AJ102" i="131"/>
  <c r="AK102" i="131"/>
  <c r="U24" i="131"/>
  <c r="AO21" i="131"/>
  <c r="AP21" i="131"/>
  <c r="AO80" i="131"/>
  <c r="AO50" i="131"/>
  <c r="AP50" i="131"/>
  <c r="AF50" i="131"/>
  <c r="AG50" i="131"/>
  <c r="AP81" i="131"/>
  <c r="AO74" i="131"/>
  <c r="AO81" i="131" s="1"/>
  <c r="U81" i="131"/>
  <c r="U77" i="131"/>
  <c r="AO77" i="131" s="1"/>
  <c r="AK50" i="131"/>
  <c r="AJ53" i="131"/>
  <c r="Q24" i="131"/>
  <c r="AL21" i="131"/>
  <c r="AK21" i="131"/>
  <c r="AP80" i="131"/>
  <c r="AA18" i="131"/>
  <c r="AE18" i="131"/>
  <c r="AD18" i="131"/>
  <c r="G24" i="131"/>
  <c r="AA24" i="131" s="1"/>
  <c r="AA21" i="131"/>
  <c r="Z18" i="131"/>
  <c r="E21" i="131"/>
  <c r="Y18" i="131"/>
  <c r="AE21" i="131"/>
  <c r="K24" i="131"/>
  <c r="AF18" i="131"/>
  <c r="L21" i="131"/>
  <c r="AG21" i="131" s="1"/>
  <c r="AD21" i="131"/>
  <c r="J24" i="131"/>
  <c r="AD24" i="131" s="1"/>
  <c r="M24" i="131"/>
  <c r="H103" i="131"/>
  <c r="AI77" i="131" l="1"/>
  <c r="AJ77" i="131"/>
  <c r="AJ24" i="131"/>
  <c r="AG105" i="131"/>
  <c r="AF105" i="131"/>
  <c r="AK24" i="131"/>
  <c r="AL24" i="131"/>
  <c r="AJ50" i="131"/>
  <c r="AO24" i="131"/>
  <c r="AP24" i="131"/>
  <c r="AD50" i="131"/>
  <c r="AE50" i="131"/>
  <c r="AJ105" i="131"/>
  <c r="AK105" i="131"/>
  <c r="AF77" i="131"/>
  <c r="AG77" i="131"/>
  <c r="AP77" i="131"/>
  <c r="Z21" i="131"/>
  <c r="E24" i="131"/>
  <c r="Y21" i="131"/>
  <c r="L24" i="131"/>
  <c r="AF24" i="131" s="1"/>
  <c r="AF21" i="131"/>
  <c r="AE24" i="131"/>
  <c r="AG24" i="131" l="1"/>
  <c r="Y24" i="131"/>
  <c r="Z24" i="131"/>
  <c r="D3" i="129" l="1"/>
  <c r="F16" i="129"/>
  <c r="F22" i="129" l="1"/>
  <c r="F23" i="129" l="1"/>
  <c r="F20" i="129" l="1"/>
  <c r="E3" i="129" l="1"/>
  <c r="G22" i="129" l="1"/>
  <c r="H22" i="129" l="1"/>
  <c r="I22" i="129" s="1"/>
  <c r="G23" i="129"/>
  <c r="H23" i="129" s="1"/>
  <c r="C26" i="131" l="1"/>
  <c r="H26" i="131" s="1"/>
  <c r="AB26" i="131" s="1"/>
  <c r="D40" i="129" l="1"/>
  <c r="F9" i="129" l="1"/>
  <c r="F21" i="129" s="1"/>
  <c r="H62" i="131" l="1"/>
  <c r="H35" i="131" l="1"/>
  <c r="H9" i="131"/>
  <c r="H90" i="131"/>
  <c r="H93" i="131"/>
  <c r="H38" i="131"/>
  <c r="AB38" i="131" s="1"/>
  <c r="AB62" i="131"/>
  <c r="H12" i="131" l="1"/>
  <c r="H65" i="131"/>
  <c r="AB90" i="131"/>
  <c r="AB93" i="131"/>
  <c r="AB9" i="131"/>
  <c r="AB35" i="131"/>
  <c r="H36" i="131" l="1"/>
  <c r="AB12" i="131"/>
  <c r="AB65" i="131"/>
  <c r="AB36" i="131" l="1"/>
  <c r="H37" i="131"/>
  <c r="AB37" i="131" l="1"/>
  <c r="AB52" i="131" s="1"/>
  <c r="H52" i="131"/>
  <c r="H63" i="131" l="1"/>
  <c r="H64" i="131" l="1"/>
  <c r="AB63" i="131"/>
  <c r="H10" i="131" l="1"/>
  <c r="H79" i="131"/>
  <c r="AB64" i="131"/>
  <c r="AB10" i="131" l="1"/>
  <c r="H11" i="131"/>
  <c r="AB11" i="131" s="1"/>
  <c r="AB79" i="131"/>
  <c r="H91" i="131" l="1"/>
  <c r="G20" i="129"/>
  <c r="H100" i="131" l="1"/>
  <c r="AB100" i="131" s="1"/>
  <c r="H92" i="131"/>
  <c r="AB91" i="131"/>
  <c r="H20" i="129"/>
  <c r="I20" i="129" s="1"/>
  <c r="AB92" i="131" l="1"/>
  <c r="G16" i="129" l="1"/>
  <c r="H16" i="129" s="1"/>
  <c r="I16" i="129" s="1"/>
  <c r="G8" i="129"/>
  <c r="H8" i="129" s="1"/>
  <c r="I8" i="129" s="1"/>
  <c r="G12" i="129"/>
  <c r="H12" i="129" s="1"/>
  <c r="I12" i="129" s="1"/>
  <c r="G13" i="129"/>
  <c r="H13" i="129" s="1"/>
  <c r="I13" i="129" s="1"/>
  <c r="G17" i="129"/>
  <c r="H17" i="129" s="1"/>
  <c r="I17" i="129" s="1"/>
  <c r="G14" i="129"/>
  <c r="H14" i="129" s="1"/>
  <c r="I14" i="129" s="1"/>
  <c r="G9" i="129"/>
  <c r="H9" i="129" s="1"/>
  <c r="I9" i="129" s="1"/>
  <c r="G10" i="129"/>
  <c r="H10" i="129" s="1"/>
  <c r="I10" i="129" s="1"/>
  <c r="G18" i="129"/>
  <c r="H18" i="129" s="1"/>
  <c r="I18" i="129" s="1"/>
  <c r="G7" i="129"/>
  <c r="H7" i="129" s="1"/>
  <c r="I7" i="129" s="1"/>
  <c r="G11" i="129"/>
  <c r="H11" i="129" s="1"/>
  <c r="I11" i="129" s="1"/>
  <c r="G15" i="129"/>
  <c r="H15" i="129" s="1"/>
  <c r="I15" i="129" s="1"/>
  <c r="G19" i="129" l="1"/>
  <c r="H19" i="129" l="1"/>
  <c r="I19" i="129" s="1"/>
  <c r="G21" i="129"/>
  <c r="H21" i="129" s="1"/>
  <c r="I21" i="129" s="1"/>
  <c r="C97" i="131" l="1"/>
  <c r="D15" i="129"/>
  <c r="C65" i="131"/>
  <c r="D39" i="129"/>
  <c r="C62" i="131"/>
  <c r="C56" i="131"/>
  <c r="H56" i="131" s="1"/>
  <c r="AB56" i="131" s="1"/>
  <c r="C13" i="131"/>
  <c r="H13" i="131" s="1"/>
  <c r="AB13" i="131" s="1"/>
  <c r="C104" i="131"/>
  <c r="H104" i="131" s="1"/>
  <c r="AB104" i="131" s="1"/>
  <c r="C20" i="131"/>
  <c r="H20" i="131" s="1"/>
  <c r="AB20" i="131" s="1"/>
  <c r="C48" i="131"/>
  <c r="H48" i="131" s="1"/>
  <c r="AB48" i="131" s="1"/>
  <c r="C9" i="131"/>
  <c r="C108" i="131"/>
  <c r="H108" i="131" s="1"/>
  <c r="AB108" i="131" s="1"/>
  <c r="C73" i="131"/>
  <c r="H73" i="131" s="1"/>
  <c r="AB73" i="131" s="1"/>
  <c r="C75" i="131"/>
  <c r="H75" i="131" s="1"/>
  <c r="AB75" i="131" s="1"/>
  <c r="C55" i="131"/>
  <c r="H55" i="131" s="1"/>
  <c r="AB55" i="131" s="1"/>
  <c r="C14" i="131"/>
  <c r="H14" i="131" s="1"/>
  <c r="AB14" i="131" s="1"/>
  <c r="C98" i="131"/>
  <c r="D27" i="129"/>
  <c r="D21" i="129"/>
  <c r="C100" i="131"/>
  <c r="C27" i="131"/>
  <c r="H27" i="131" s="1"/>
  <c r="AB27" i="131" s="1"/>
  <c r="C12" i="131"/>
  <c r="D20" i="129"/>
  <c r="D61" i="129" s="1"/>
  <c r="C35" i="131"/>
  <c r="C66" i="131"/>
  <c r="H66" i="131" s="1"/>
  <c r="C95" i="131"/>
  <c r="H95" i="131" s="1"/>
  <c r="AB95" i="131" s="1"/>
  <c r="C43" i="131"/>
  <c r="C42" i="131"/>
  <c r="D19" i="129"/>
  <c r="C49" i="131"/>
  <c r="H49" i="131" s="1"/>
  <c r="AB49" i="131" s="1"/>
  <c r="C45" i="131"/>
  <c r="H45" i="131" s="1"/>
  <c r="AB45" i="131" s="1"/>
  <c r="C40" i="131"/>
  <c r="H40" i="131" s="1"/>
  <c r="AB40" i="131" s="1"/>
  <c r="C63" i="131"/>
  <c r="C64" i="131" s="1"/>
  <c r="C23" i="131"/>
  <c r="H23" i="131" s="1"/>
  <c r="AB23" i="131" s="1"/>
  <c r="C96" i="131"/>
  <c r="H96" i="131" s="1"/>
  <c r="AB96" i="131" s="1"/>
  <c r="C39" i="131"/>
  <c r="H39" i="131" s="1"/>
  <c r="AB39" i="131" s="1"/>
  <c r="C19" i="131"/>
  <c r="H19" i="131" s="1"/>
  <c r="AB19" i="131" s="1"/>
  <c r="C93" i="131"/>
  <c r="C38" i="131"/>
  <c r="C44" i="131" s="1"/>
  <c r="C107" i="131"/>
  <c r="H107" i="131" s="1"/>
  <c r="AB107" i="131" s="1"/>
  <c r="C94" i="131"/>
  <c r="H94" i="131" s="1"/>
  <c r="H98" i="131" s="1"/>
  <c r="C41" i="131"/>
  <c r="H41" i="131" s="1"/>
  <c r="AB41" i="131" s="1"/>
  <c r="C83" i="131"/>
  <c r="H83" i="131" s="1"/>
  <c r="AB83" i="131" s="1"/>
  <c r="C76" i="131"/>
  <c r="H76" i="131" s="1"/>
  <c r="AB76" i="131" s="1"/>
  <c r="C72" i="131"/>
  <c r="H72" i="131" s="1"/>
  <c r="AB72" i="131" s="1"/>
  <c r="C15" i="131"/>
  <c r="H15" i="131" s="1"/>
  <c r="AB15" i="131" s="1"/>
  <c r="C10" i="131"/>
  <c r="C11" i="131" s="1"/>
  <c r="D10" i="129"/>
  <c r="C17" i="131"/>
  <c r="C46" i="131"/>
  <c r="H46" i="131" s="1"/>
  <c r="AB46" i="131" s="1"/>
  <c r="C91" i="131"/>
  <c r="C70" i="131"/>
  <c r="C101" i="131"/>
  <c r="H101" i="131" s="1"/>
  <c r="AB101" i="131" s="1"/>
  <c r="C69" i="131"/>
  <c r="C68" i="131"/>
  <c r="H68" i="131" s="1"/>
  <c r="AB68" i="131" s="1"/>
  <c r="C90" i="131"/>
  <c r="C67" i="131"/>
  <c r="H67" i="131" s="1"/>
  <c r="AB67" i="131" s="1"/>
  <c r="C82" i="131"/>
  <c r="H82" i="131" s="1"/>
  <c r="AB82" i="131" s="1"/>
  <c r="C16" i="131"/>
  <c r="H16" i="131" s="1"/>
  <c r="AB16" i="131" s="1"/>
  <c r="D30" i="129"/>
  <c r="C22" i="131"/>
  <c r="H22" i="131" s="1"/>
  <c r="AB22" i="131" s="1"/>
  <c r="C36" i="131"/>
  <c r="D12" i="129"/>
  <c r="D36" i="129"/>
  <c r="D14" i="129"/>
  <c r="C99" i="131" l="1"/>
  <c r="D51" i="129"/>
  <c r="C102" i="131"/>
  <c r="C105" i="131" s="1"/>
  <c r="D16" i="129"/>
  <c r="D57" i="129" s="1"/>
  <c r="C79" i="131"/>
  <c r="D13" i="129"/>
  <c r="C37" i="131"/>
  <c r="C52" i="131" s="1"/>
  <c r="H70" i="131"/>
  <c r="H71" i="131" s="1"/>
  <c r="D8" i="129"/>
  <c r="C92" i="131"/>
  <c r="C47" i="131"/>
  <c r="C50" i="131" s="1"/>
  <c r="AB94" i="131"/>
  <c r="D60" i="129"/>
  <c r="AB98" i="131"/>
  <c r="H99" i="131"/>
  <c r="H102" i="131" s="1"/>
  <c r="D32" i="129"/>
  <c r="D53" i="129" s="1"/>
  <c r="D9" i="129"/>
  <c r="D37" i="129"/>
  <c r="D31" i="129"/>
  <c r="D33" i="129"/>
  <c r="C71" i="131"/>
  <c r="C18" i="131"/>
  <c r="C21" i="131" s="1"/>
  <c r="C24" i="131" s="1"/>
  <c r="D34" i="129"/>
  <c r="D29" i="129"/>
  <c r="D7" i="129"/>
  <c r="D48" i="129" s="1"/>
  <c r="D28" i="129"/>
  <c r="D11" i="129"/>
  <c r="D52" i="129" s="1"/>
  <c r="AB66" i="131"/>
  <c r="H43" i="131"/>
  <c r="H17" i="131"/>
  <c r="D35" i="129"/>
  <c r="D56" i="129" s="1"/>
  <c r="D38" i="129"/>
  <c r="D17" i="129"/>
  <c r="D18" i="129"/>
  <c r="AB99" i="131" l="1"/>
  <c r="D49" i="129"/>
  <c r="C54" i="131"/>
  <c r="C53" i="131"/>
  <c r="H80" i="131"/>
  <c r="H74" i="131"/>
  <c r="D54" i="129"/>
  <c r="AB70" i="131"/>
  <c r="D41" i="129"/>
  <c r="E51" i="129" s="1"/>
  <c r="E30" i="129"/>
  <c r="E34" i="129"/>
  <c r="H44" i="131"/>
  <c r="AB43" i="131"/>
  <c r="AB71" i="131"/>
  <c r="AB80" i="131" s="1"/>
  <c r="D22" i="129"/>
  <c r="E9" i="129" s="1"/>
  <c r="AB17" i="131"/>
  <c r="H18" i="131"/>
  <c r="D55" i="129"/>
  <c r="C74" i="131"/>
  <c r="C80" i="131"/>
  <c r="D58" i="129"/>
  <c r="D50" i="129"/>
  <c r="E50" i="129" s="1"/>
  <c r="E11" i="129"/>
  <c r="D59" i="129"/>
  <c r="H106" i="131"/>
  <c r="AB102" i="131"/>
  <c r="H105" i="131"/>
  <c r="AB105" i="131" s="1"/>
  <c r="H81" i="131"/>
  <c r="AB74" i="131"/>
  <c r="AB81" i="131" s="1"/>
  <c r="H77" i="131"/>
  <c r="AB77" i="131" s="1"/>
  <c r="E10" i="129" l="1"/>
  <c r="E28" i="129"/>
  <c r="E15" i="129"/>
  <c r="E36" i="129"/>
  <c r="E19" i="129"/>
  <c r="E58" i="129"/>
  <c r="E38" i="129"/>
  <c r="E49" i="129"/>
  <c r="E33" i="129"/>
  <c r="E48" i="129"/>
  <c r="E27" i="129"/>
  <c r="E31" i="129"/>
  <c r="E56" i="129"/>
  <c r="E57" i="129"/>
  <c r="E16" i="129"/>
  <c r="E14" i="129"/>
  <c r="E13" i="129"/>
  <c r="E18" i="129"/>
  <c r="E59" i="129"/>
  <c r="E54" i="129"/>
  <c r="E37" i="129"/>
  <c r="E39" i="129"/>
  <c r="E60" i="129"/>
  <c r="E61" i="129"/>
  <c r="E40" i="129"/>
  <c r="E7" i="129"/>
  <c r="E21" i="129"/>
  <c r="E55" i="129"/>
  <c r="E29" i="129"/>
  <c r="E32" i="129"/>
  <c r="E35" i="129"/>
  <c r="E52" i="129"/>
  <c r="E53" i="129"/>
  <c r="H47" i="131"/>
  <c r="AB44" i="131"/>
  <c r="AB53" i="131" s="1"/>
  <c r="H53" i="131"/>
  <c r="AB18" i="131"/>
  <c r="H21" i="131"/>
  <c r="D62" i="129"/>
  <c r="C77" i="131"/>
  <c r="C81" i="131"/>
  <c r="E20" i="129"/>
  <c r="E17" i="129"/>
  <c r="E12" i="129"/>
  <c r="E8" i="129"/>
  <c r="H24" i="131" l="1"/>
  <c r="AB24" i="131" s="1"/>
  <c r="AB21" i="131"/>
  <c r="H54" i="131"/>
  <c r="H50" i="131"/>
  <c r="AB50" i="131" s="1"/>
  <c r="AB47" i="131"/>
  <c r="AB54" i="131" s="1"/>
</calcChain>
</file>

<file path=xl/comments1.xml><?xml version="1.0" encoding="utf-8"?>
<comments xmlns="http://schemas.openxmlformats.org/spreadsheetml/2006/main">
  <authors>
    <author>Føyn Preben</author>
  </authors>
  <commentList>
    <comment ref="B37" authorId="0">
      <text>
        <r>
          <rPr>
            <b/>
            <sz val="9"/>
            <color indexed="81"/>
            <rFont val="Tahoma"/>
            <family val="2"/>
          </rPr>
          <t>Føyn Preben:</t>
        </r>
        <r>
          <rPr>
            <sz val="9"/>
            <color indexed="81"/>
            <rFont val="Tahoma"/>
            <family val="2"/>
          </rPr>
          <t xml:space="preserve">
Figures are to be updated in HFM after Q1-16, and before Q2</t>
        </r>
      </text>
    </comment>
  </commentList>
</comments>
</file>

<file path=xl/sharedStrings.xml><?xml version="1.0" encoding="utf-8"?>
<sst xmlns="http://schemas.openxmlformats.org/spreadsheetml/2006/main" count="2227" uniqueCount="729">
  <si>
    <t>Investments in businesses</t>
  </si>
  <si>
    <t>Of which:</t>
  </si>
  <si>
    <t>Data services</t>
  </si>
  <si>
    <t>Other revenues</t>
  </si>
  <si>
    <t>Total retail revenues</t>
  </si>
  <si>
    <t>Wholesale revenues</t>
  </si>
  <si>
    <t>Mobile revenues company's subscriptions</t>
  </si>
  <si>
    <t>Total revenues mobile operation</t>
  </si>
  <si>
    <t>Revenues fixed operation</t>
  </si>
  <si>
    <t>YTD</t>
  </si>
  <si>
    <t>Impairments</t>
  </si>
  <si>
    <t>Contribution</t>
  </si>
  <si>
    <t>CAPEX</t>
  </si>
  <si>
    <t>Denmark</t>
  </si>
  <si>
    <t>DKK/NOK</t>
  </si>
  <si>
    <t>Bangladesh</t>
  </si>
  <si>
    <t>BDT/NOK</t>
  </si>
  <si>
    <t>Hungary</t>
  </si>
  <si>
    <t>HUF/NOK</t>
  </si>
  <si>
    <t>Malaysia</t>
  </si>
  <si>
    <t>MYR/NOK</t>
  </si>
  <si>
    <t>Thailand</t>
  </si>
  <si>
    <t>THB/NOK</t>
  </si>
  <si>
    <t>Sweden</t>
  </si>
  <si>
    <t>SEK/NOK</t>
  </si>
  <si>
    <t>EUR/NOK</t>
  </si>
  <si>
    <t>Pakistan</t>
  </si>
  <si>
    <t>PKR/NOK</t>
  </si>
  <si>
    <t>31 Dec</t>
  </si>
  <si>
    <t>30 Sep</t>
  </si>
  <si>
    <t>30 Jun</t>
  </si>
  <si>
    <t>31 Mar</t>
  </si>
  <si>
    <t>EBIT</t>
  </si>
  <si>
    <t>Telenor Group</t>
  </si>
  <si>
    <t>Income taxes paid</t>
  </si>
  <si>
    <t>Purchases of property, plant and equipment (PPE) and intangible assets</t>
  </si>
  <si>
    <t>Current interest-bearing liabilities</t>
  </si>
  <si>
    <t>Non-current interest-bearing liabilities</t>
  </si>
  <si>
    <t>Non-current non-interest-bearing liabilities</t>
  </si>
  <si>
    <t>Depreciation, amortisation and impairment losses</t>
  </si>
  <si>
    <t>Impairment losses of goodwill</t>
  </si>
  <si>
    <t>Total impairment losses</t>
  </si>
  <si>
    <t>Total depreciation, amortisation and impairment losses</t>
  </si>
  <si>
    <t>Impairment losses</t>
  </si>
  <si>
    <t>Gains (losses) on disposal of fixed assets and operations</t>
  </si>
  <si>
    <t>India</t>
  </si>
  <si>
    <t>NOK</t>
  </si>
  <si>
    <t>Norway</t>
  </si>
  <si>
    <t>Other</t>
  </si>
  <si>
    <t>Other/Eliminations</t>
  </si>
  <si>
    <t>Total equity and liabilities</t>
  </si>
  <si>
    <t>Telenor.NBASWEDEN</t>
  </si>
  <si>
    <t>Net income</t>
  </si>
  <si>
    <t>Share</t>
  </si>
  <si>
    <t>Trademarks and brands</t>
  </si>
  <si>
    <t>Group</t>
  </si>
  <si>
    <t>Net interest-bearing liabilities</t>
  </si>
  <si>
    <t xml:space="preserve">Telephony </t>
  </si>
  <si>
    <t>Licences and rights</t>
  </si>
  <si>
    <t>Total other (income) and expenses</t>
  </si>
  <si>
    <t>Total mobile revenues</t>
  </si>
  <si>
    <t>Subscription and traffic</t>
  </si>
  <si>
    <t>EBITDA/Total revenues (%)</t>
  </si>
  <si>
    <t>Operating profit/Total revenues (%)</t>
  </si>
  <si>
    <t>Capex</t>
  </si>
  <si>
    <t>Avg. exchange rates YTD</t>
  </si>
  <si>
    <t>EBITDA before other items and expenses</t>
  </si>
  <si>
    <t>(NOK millions)</t>
  </si>
  <si>
    <t>Reconciliation</t>
  </si>
  <si>
    <t>Property, plant and equipment</t>
  </si>
  <si>
    <t>Other non-current assets</t>
  </si>
  <si>
    <t>Assets classified as held for sale</t>
  </si>
  <si>
    <t>Equity attributable to equity holders of Telenor ASA</t>
  </si>
  <si>
    <t>Equity ratio including non-controlling interests (%)</t>
  </si>
  <si>
    <t>P3M100</t>
  </si>
  <si>
    <t>P3M200</t>
  </si>
  <si>
    <t>P3M02S</t>
  </si>
  <si>
    <t>P3M300</t>
  </si>
  <si>
    <t>P3M01S</t>
  </si>
  <si>
    <t>P3M400</t>
  </si>
  <si>
    <t>P3M</t>
  </si>
  <si>
    <t>P0FRT</t>
  </si>
  <si>
    <t>P0FRB</t>
  </si>
  <si>
    <t>P0FRD1</t>
  </si>
  <si>
    <t>P0FRO</t>
  </si>
  <si>
    <t>P0FR</t>
  </si>
  <si>
    <t>P0FW</t>
  </si>
  <si>
    <t>P0O100</t>
  </si>
  <si>
    <t>BASWEDEN.UKOSWE</t>
  </si>
  <si>
    <t>BASWEDEN.SWEMOB</t>
  </si>
  <si>
    <t>BASWEDEN.SWEFIX</t>
  </si>
  <si>
    <t>BASWEDEN.CORRSWE</t>
  </si>
  <si>
    <t>BASWEDEN.WBASWEDEN</t>
  </si>
  <si>
    <t>UKOSWE.BAMOBSWEDEN</t>
  </si>
  <si>
    <t>UKOSWE.UKOFSK</t>
  </si>
  <si>
    <t>UKOSWE.WUKOSWE</t>
  </si>
  <si>
    <t>BADENMARK.UKOFON</t>
  </si>
  <si>
    <t>BADENMARK.DANMER</t>
  </si>
  <si>
    <t>BADENMARK.WBADENMARK</t>
  </si>
  <si>
    <t>BROADCAST.BABRO</t>
  </si>
  <si>
    <t>BROADCAST.UKOMEDIA</t>
  </si>
  <si>
    <t>BROADCAST.WBROADCAST</t>
  </si>
  <si>
    <t>BABRO.UKODIS</t>
  </si>
  <si>
    <t>BABRO.UKOTRK</t>
  </si>
  <si>
    <t>BABRO.UKOBCO</t>
  </si>
  <si>
    <t>BABRO.WBABRO</t>
  </si>
  <si>
    <t>BAOTHER.FW</t>
  </si>
  <si>
    <t>BAOTHER.FORKOR</t>
  </si>
  <si>
    <t>BAOTHER.FORDRI</t>
  </si>
  <si>
    <t>BAOTHER.WBAOTHER</t>
  </si>
  <si>
    <t>FORKOR.UKOMSO</t>
  </si>
  <si>
    <t>FORKOR.IK</t>
  </si>
  <si>
    <t>FORKOR.TV</t>
  </si>
  <si>
    <t>FORKOR.MU</t>
  </si>
  <si>
    <t>FORKOR.UKOHOL</t>
  </si>
  <si>
    <t>FORKOR.WFORKOR</t>
  </si>
  <si>
    <t>FORKOR.UKOKEY</t>
  </si>
  <si>
    <t>FORKOR.UKOASA</t>
  </si>
  <si>
    <t>FORKOR.UKOFORS</t>
  </si>
  <si>
    <t>FORDRI.SI</t>
  </si>
  <si>
    <t>FORDRI.AFORDRI</t>
  </si>
  <si>
    <t>FORDRI.WFORDRI</t>
  </si>
  <si>
    <t>FORDRI.UKONEW</t>
  </si>
  <si>
    <t>FORDRI.UKOTMMH</t>
  </si>
  <si>
    <t>FORDRI.H4</t>
  </si>
  <si>
    <t>FORDRI.Y0</t>
  </si>
  <si>
    <t>FORDRI.UKOCXN</t>
  </si>
  <si>
    <t>FORDRI.Z2</t>
  </si>
  <si>
    <t>FORDRI.UKOTXN</t>
  </si>
  <si>
    <t>P1A000</t>
  </si>
  <si>
    <t>Net cash flow from operating activities</t>
  </si>
  <si>
    <t>Net cash flow from financing activities</t>
  </si>
  <si>
    <t xml:space="preserve">No. of DTH TV subscribers (in thousands) </t>
  </si>
  <si>
    <t>Total depreciation of property, plant and equipment</t>
  </si>
  <si>
    <t>Earnings per share in NOK</t>
  </si>
  <si>
    <t>Other operations</t>
  </si>
  <si>
    <t>Non-mobile revenues </t>
  </si>
  <si>
    <t>Other units</t>
  </si>
  <si>
    <t>DTAC - Thailand</t>
  </si>
  <si>
    <t>Mobile</t>
  </si>
  <si>
    <t xml:space="preserve">Interconnect revenues </t>
  </si>
  <si>
    <t>Net income attributable to:</t>
  </si>
  <si>
    <t>Equity holders of Telenor ASA</t>
  </si>
  <si>
    <t>Depreciation and amortisation</t>
  </si>
  <si>
    <t>Non-controlling interests</t>
  </si>
  <si>
    <t>Entity</t>
  </si>
  <si>
    <t>Quarter</t>
  </si>
  <si>
    <t>Value (Currency)</t>
  </si>
  <si>
    <t>View</t>
  </si>
  <si>
    <t>Account</t>
  </si>
  <si>
    <t>Product codes</t>
  </si>
  <si>
    <t>Capex accounts</t>
  </si>
  <si>
    <t>Telenor.FM</t>
  </si>
  <si>
    <t>[ICP Top]</t>
  </si>
  <si>
    <t>NOK Total</t>
  </si>
  <si>
    <t>&lt;Scenario View&gt;</t>
  </si>
  <si>
    <t>2005</t>
  </si>
  <si>
    <t>C3_C8</t>
  </si>
  <si>
    <t>P1M111</t>
  </si>
  <si>
    <t>Telenor.UKONOR</t>
  </si>
  <si>
    <t>Proforma</t>
  </si>
  <si>
    <t>[ICP None]</t>
  </si>
  <si>
    <t>Quarter2</t>
  </si>
  <si>
    <t>NOK Adjs</t>
  </si>
  <si>
    <t>Periodic</t>
  </si>
  <si>
    <t>2006</t>
  </si>
  <si>
    <t>P1M112</t>
  </si>
  <si>
    <t>[ICP Entities]</t>
  </si>
  <si>
    <t>Quarter3</t>
  </si>
  <si>
    <t>2007</t>
  </si>
  <si>
    <t>C30R</t>
  </si>
  <si>
    <t>P1M121</t>
  </si>
  <si>
    <t>Quarter4</t>
  </si>
  <si>
    <t>QTD</t>
  </si>
  <si>
    <t>2008</t>
  </si>
  <si>
    <t>P1M122</t>
  </si>
  <si>
    <t>Telenor.UKOPANNON</t>
  </si>
  <si>
    <t>2009</t>
  </si>
  <si>
    <t>P1F110</t>
  </si>
  <si>
    <t>Telenor.UKODIGI</t>
  </si>
  <si>
    <t>2010</t>
  </si>
  <si>
    <t>P1F120</t>
  </si>
  <si>
    <t>Telenor.BAKYIVSTAR</t>
  </si>
  <si>
    <t>2011</t>
  </si>
  <si>
    <t>P1F130</t>
  </si>
  <si>
    <t>Telenor.UKOGRAMEEN</t>
  </si>
  <si>
    <t>2012</t>
  </si>
  <si>
    <t>C30001</t>
  </si>
  <si>
    <t>P1M130</t>
  </si>
  <si>
    <t>Telenor.UKOPAKISTAN</t>
  </si>
  <si>
    <t>2013</t>
  </si>
  <si>
    <t>C40110</t>
  </si>
  <si>
    <t>P1M140</t>
  </si>
  <si>
    <t>Telenor.UKOPROMONTE</t>
  </si>
  <si>
    <t>2014</t>
  </si>
  <si>
    <t>C40130</t>
  </si>
  <si>
    <t>P1A190</t>
  </si>
  <si>
    <t>Telenor.UKOTAC</t>
  </si>
  <si>
    <t>2015</t>
  </si>
  <si>
    <t>C40150</t>
  </si>
  <si>
    <t>P1M210</t>
  </si>
  <si>
    <t>Telenor.UKOSERBIA</t>
  </si>
  <si>
    <t>2016</t>
  </si>
  <si>
    <t>C40170</t>
  </si>
  <si>
    <t>P1M220</t>
  </si>
  <si>
    <t>Telenor.BAINDIA</t>
  </si>
  <si>
    <t>C40210</t>
  </si>
  <si>
    <t>P1M230</t>
  </si>
  <si>
    <t>C40230</t>
  </si>
  <si>
    <t>P1M240</t>
  </si>
  <si>
    <t>C40250</t>
  </si>
  <si>
    <t>P1M250</t>
  </si>
  <si>
    <t>Telenor.ATELENOR</t>
  </si>
  <si>
    <t>C40270</t>
  </si>
  <si>
    <t>P1F210</t>
  </si>
  <si>
    <t>Telenor.WTELENOR</t>
  </si>
  <si>
    <t>C40310</t>
  </si>
  <si>
    <t>P1F220</t>
  </si>
  <si>
    <t>C40330</t>
  </si>
  <si>
    <t>P1A290</t>
  </si>
  <si>
    <t>C40510</t>
  </si>
  <si>
    <t>P1A300</t>
  </si>
  <si>
    <t>C40610</t>
  </si>
  <si>
    <t>P1A400</t>
  </si>
  <si>
    <t>C40650</t>
  </si>
  <si>
    <t>C40655</t>
  </si>
  <si>
    <t>P1A200</t>
  </si>
  <si>
    <t>C40670</t>
  </si>
  <si>
    <t>P1M110</t>
  </si>
  <si>
    <t>C40675</t>
  </si>
  <si>
    <t>P1M120</t>
  </si>
  <si>
    <t>C40700</t>
  </si>
  <si>
    <t>C50100</t>
  </si>
  <si>
    <t>C50200</t>
  </si>
  <si>
    <t>C50300</t>
  </si>
  <si>
    <t>C50500</t>
  </si>
  <si>
    <t>C50600</t>
  </si>
  <si>
    <t>C50700</t>
  </si>
  <si>
    <t>C50900</t>
  </si>
  <si>
    <t>C60010</t>
  </si>
  <si>
    <t>C60020</t>
  </si>
  <si>
    <t>C60030</t>
  </si>
  <si>
    <t>C60040</t>
  </si>
  <si>
    <t>C60050</t>
  </si>
  <si>
    <t>C60060</t>
  </si>
  <si>
    <t>C60070</t>
  </si>
  <si>
    <t>C60080</t>
  </si>
  <si>
    <t>C60090</t>
  </si>
  <si>
    <t>BABRO.ABABRO</t>
  </si>
  <si>
    <t>C60110</t>
  </si>
  <si>
    <t>C60120</t>
  </si>
  <si>
    <t>C60130</t>
  </si>
  <si>
    <t>BAOTHER.XA</t>
  </si>
  <si>
    <t>C60140</t>
  </si>
  <si>
    <t>C60150</t>
  </si>
  <si>
    <t>C60160</t>
  </si>
  <si>
    <t>C60170</t>
  </si>
  <si>
    <t>C60180</t>
  </si>
  <si>
    <t>C60190</t>
  </si>
  <si>
    <t>C60200</t>
  </si>
  <si>
    <t>C60300</t>
  </si>
  <si>
    <t>C60400</t>
  </si>
  <si>
    <t>FORKOR.AT</t>
  </si>
  <si>
    <t>C60500</t>
  </si>
  <si>
    <t>C60600</t>
  </si>
  <si>
    <t>C60700</t>
  </si>
  <si>
    <t>FORKOR.AFORKOR</t>
  </si>
  <si>
    <t>C60950</t>
  </si>
  <si>
    <t>C73120</t>
  </si>
  <si>
    <t>C73129</t>
  </si>
  <si>
    <t>C73130</t>
  </si>
  <si>
    <t>C73131</t>
  </si>
  <si>
    <t>C73133</t>
  </si>
  <si>
    <t>FORDRI.XE</t>
  </si>
  <si>
    <t>C73134</t>
  </si>
  <si>
    <t>C73135</t>
  </si>
  <si>
    <t>FORDRI.GB</t>
  </si>
  <si>
    <t>C73136</t>
  </si>
  <si>
    <t>FORDRI.FA</t>
  </si>
  <si>
    <t>C73137</t>
  </si>
  <si>
    <t>FORDRI.UKONEX</t>
  </si>
  <si>
    <t>C73138</t>
  </si>
  <si>
    <t>FORDRI.UKOPVT</t>
  </si>
  <si>
    <t>C73300</t>
  </si>
  <si>
    <t>C73330</t>
  </si>
  <si>
    <t>C73390</t>
  </si>
  <si>
    <t>C73500</t>
  </si>
  <si>
    <t>FORDRI.DOBASAT</t>
  </si>
  <si>
    <t>C75110</t>
  </si>
  <si>
    <t>C75119</t>
  </si>
  <si>
    <t>C75120</t>
  </si>
  <si>
    <t>C75129</t>
  </si>
  <si>
    <t>FORDRI.Y9</t>
  </si>
  <si>
    <t>C75700</t>
  </si>
  <si>
    <t>C76110</t>
  </si>
  <si>
    <t>C76111</t>
  </si>
  <si>
    <t>C76119</t>
  </si>
  <si>
    <t>C76120</t>
  </si>
  <si>
    <t>C76129</t>
  </si>
  <si>
    <t>C76800</t>
  </si>
  <si>
    <t>C76910</t>
  </si>
  <si>
    <t>C76900</t>
  </si>
  <si>
    <t>C77971</t>
  </si>
  <si>
    <t>C77973</t>
  </si>
  <si>
    <t>C77979</t>
  </si>
  <si>
    <t>C77990</t>
  </si>
  <si>
    <t>C80100</t>
  </si>
  <si>
    <t>C80120</t>
  </si>
  <si>
    <t>C80160</t>
  </si>
  <si>
    <t>C80140</t>
  </si>
  <si>
    <t>C80330</t>
  </si>
  <si>
    <t>C80350</t>
  </si>
  <si>
    <t>C80630</t>
  </si>
  <si>
    <t>C80635</t>
  </si>
  <si>
    <t>C80390</t>
  </si>
  <si>
    <t>C81350</t>
  </si>
  <si>
    <t>C81370</t>
  </si>
  <si>
    <t>C81390</t>
  </si>
  <si>
    <t>C81500</t>
  </si>
  <si>
    <t>C82300</t>
  </si>
  <si>
    <t>C82310</t>
  </si>
  <si>
    <t>C82315</t>
  </si>
  <si>
    <t>C82320</t>
  </si>
  <si>
    <t>C82330</t>
  </si>
  <si>
    <t>C82350</t>
  </si>
  <si>
    <t>C82370</t>
  </si>
  <si>
    <t>C82380</t>
  </si>
  <si>
    <t>C82390</t>
  </si>
  <si>
    <t>C82400</t>
  </si>
  <si>
    <t>C82410</t>
  </si>
  <si>
    <t>C82415</t>
  </si>
  <si>
    <t>C82420</t>
  </si>
  <si>
    <t>C82430</t>
  </si>
  <si>
    <t>C82450</t>
  </si>
  <si>
    <t>C82470</t>
  </si>
  <si>
    <t>C82480</t>
  </si>
  <si>
    <t>C82490</t>
  </si>
  <si>
    <t>C82860</t>
  </si>
  <si>
    <t>C82870</t>
  </si>
  <si>
    <t>C82890</t>
  </si>
  <si>
    <t>C82895</t>
  </si>
  <si>
    <t>C83371</t>
  </si>
  <si>
    <t>C83373</t>
  </si>
  <si>
    <t>C83375</t>
  </si>
  <si>
    <t>C83377</t>
  </si>
  <si>
    <t>C83471</t>
  </si>
  <si>
    <t>C83473</t>
  </si>
  <si>
    <t>C83475</t>
  </si>
  <si>
    <t>C83477</t>
  </si>
  <si>
    <t>C84100</t>
  </si>
  <si>
    <t>C84200</t>
  </si>
  <si>
    <t>C84250</t>
  </si>
  <si>
    <t>C84300</t>
  </si>
  <si>
    <t>C84400</t>
  </si>
  <si>
    <t>C84950</t>
  </si>
  <si>
    <t>C86000</t>
  </si>
  <si>
    <t>C86050</t>
  </si>
  <si>
    <t>C86110</t>
  </si>
  <si>
    <t>C86130</t>
  </si>
  <si>
    <t>C86150</t>
  </si>
  <si>
    <t>C86170</t>
  </si>
  <si>
    <t>C89120C</t>
  </si>
  <si>
    <t>C89120M</t>
  </si>
  <si>
    <t>C89300</t>
  </si>
  <si>
    <t>C89350</t>
  </si>
  <si>
    <t>C89120</t>
  </si>
  <si>
    <t>C83</t>
  </si>
  <si>
    <t>C815</t>
  </si>
  <si>
    <t>C813</t>
  </si>
  <si>
    <t>C779</t>
  </si>
  <si>
    <t>C76S</t>
  </si>
  <si>
    <t>External revenues</t>
  </si>
  <si>
    <t>Internal revenues</t>
  </si>
  <si>
    <t>No. of mobile subscriptions (in thousands)</t>
  </si>
  <si>
    <t>Average traffic minutes per subscription per month (AMPU) in the quarter</t>
  </si>
  <si>
    <t>Average revenue per subscription per month (ARPU) in the quarter</t>
  </si>
  <si>
    <t>- of which prepaid</t>
  </si>
  <si>
    <t>- of which contract</t>
  </si>
  <si>
    <t>Net change in cash and cash equivalents</t>
  </si>
  <si>
    <t>Cash and cash equivalents at the beginning of the period</t>
  </si>
  <si>
    <t>Broadcast</t>
  </si>
  <si>
    <r>
      <t>Total revenues</t>
    </r>
    <r>
      <rPr>
        <b/>
        <vertAlign val="superscript"/>
        <sz val="12"/>
        <rFont val="Arial"/>
        <family val="2"/>
      </rPr>
      <t xml:space="preserve"> 1)</t>
    </r>
  </si>
  <si>
    <t>DiGi - Malaysia</t>
  </si>
  <si>
    <t>Dividends received from associated companies</t>
  </si>
  <si>
    <t>EBITDA margin (%)</t>
  </si>
  <si>
    <r>
      <t xml:space="preserve">Total revenues </t>
    </r>
    <r>
      <rPr>
        <vertAlign val="superscript"/>
        <sz val="12"/>
        <rFont val="Arial"/>
        <family val="2"/>
      </rPr>
      <t>1)</t>
    </r>
  </si>
  <si>
    <r>
      <t>1)</t>
    </r>
    <r>
      <rPr>
        <sz val="12"/>
        <rFont val="Arial"/>
        <family val="2"/>
      </rPr>
      <t xml:space="preserve"> Of which internal revenues</t>
    </r>
  </si>
  <si>
    <t>Total non-current liabilities</t>
  </si>
  <si>
    <t>Total current liabilities</t>
  </si>
  <si>
    <t>Analytical information</t>
  </si>
  <si>
    <t>For Basic calculation</t>
  </si>
  <si>
    <t>For Diluted calculation</t>
  </si>
  <si>
    <t>Number of ordinary shares at end of period</t>
  </si>
  <si>
    <t>Telenor.NBADENMARK</t>
  </si>
  <si>
    <t>Telenor.NUKOPANNON</t>
  </si>
  <si>
    <t>Telenor.NUKODIGI</t>
  </si>
  <si>
    <t>Telenor.NUKOGRAMEEN</t>
  </si>
  <si>
    <t>Telenor.NUKOPAKISTAN</t>
  </si>
  <si>
    <t>Telenor.NUKOPROMONTE</t>
  </si>
  <si>
    <t>Telenor.NUKOTAC</t>
  </si>
  <si>
    <t>Telenor.NUKOSERBIA</t>
  </si>
  <si>
    <t>Telenor.NBAINDIA</t>
  </si>
  <si>
    <t>Entity NOK</t>
  </si>
  <si>
    <t>NBASWEDEN.WNBASWEDEN</t>
  </si>
  <si>
    <t>NBADENMARK.WNBADENMARK</t>
  </si>
  <si>
    <t>FORDRI.Z3</t>
  </si>
  <si>
    <t xml:space="preserve">EBITDA </t>
  </si>
  <si>
    <t>Other business units</t>
  </si>
  <si>
    <t>Corporate functions and Group activities</t>
  </si>
  <si>
    <t>Cash and cash equivalents</t>
  </si>
  <si>
    <t>Eliminations</t>
  </si>
  <si>
    <t>No. of subscriptions (in thousands)</t>
  </si>
  <si>
    <t>Total EBITDA</t>
  </si>
  <si>
    <t>No. of Telephony subscriptions (in thousands)</t>
  </si>
  <si>
    <t>Operating profit (loss)</t>
  </si>
  <si>
    <t>Proceeds from and repayments of borrowings</t>
  </si>
  <si>
    <t>Net Financial Items</t>
  </si>
  <si>
    <t>Total revenues</t>
  </si>
  <si>
    <t>Scenario</t>
  </si>
  <si>
    <t>ICP</t>
  </si>
  <si>
    <t>Quarter1</t>
  </si>
  <si>
    <t>C89T</t>
  </si>
  <si>
    <t>C87</t>
  </si>
  <si>
    <t>C88</t>
  </si>
  <si>
    <t>C891</t>
  </si>
  <si>
    <t>C893</t>
  </si>
  <si>
    <t>C49100</t>
  </si>
  <si>
    <t>C49200</t>
  </si>
  <si>
    <t>C49400</t>
  </si>
  <si>
    <t>C77852</t>
  </si>
  <si>
    <t>C77854</t>
  </si>
  <si>
    <t>C77859</t>
  </si>
  <si>
    <t>C77890</t>
  </si>
  <si>
    <t>C77893</t>
  </si>
  <si>
    <t>C80300</t>
  </si>
  <si>
    <t>C80310</t>
  </si>
  <si>
    <t>C80320</t>
  </si>
  <si>
    <t>C80325</t>
  </si>
  <si>
    <t>C81300</t>
  </si>
  <si>
    <t>C81310</t>
  </si>
  <si>
    <t>C81320</t>
  </si>
  <si>
    <t>C81325</t>
  </si>
  <si>
    <t>C81330</t>
  </si>
  <si>
    <t>C81335</t>
  </si>
  <si>
    <t>C83370</t>
  </si>
  <si>
    <t>C83470</t>
  </si>
  <si>
    <t>C88100</t>
  </si>
  <si>
    <t>C88200</t>
  </si>
  <si>
    <t>C861</t>
  </si>
  <si>
    <t>C86</t>
  </si>
  <si>
    <t>C860</t>
  </si>
  <si>
    <t>C84</t>
  </si>
  <si>
    <t>C82</t>
  </si>
  <si>
    <t>C81</t>
  </si>
  <si>
    <t>C80</t>
  </si>
  <si>
    <t>C84S</t>
  </si>
  <si>
    <t>C778</t>
  </si>
  <si>
    <t>C77</t>
  </si>
  <si>
    <t>C76</t>
  </si>
  <si>
    <t>C75</t>
  </si>
  <si>
    <t>C735</t>
  </si>
  <si>
    <t>C733</t>
  </si>
  <si>
    <t>C731</t>
  </si>
  <si>
    <t>C73</t>
  </si>
  <si>
    <t>C60</t>
  </si>
  <si>
    <t>C50</t>
  </si>
  <si>
    <t>C49</t>
  </si>
  <si>
    <t>C48</t>
  </si>
  <si>
    <t>EBITDA_BOI</t>
  </si>
  <si>
    <t>C85</t>
  </si>
  <si>
    <t>Net gains/losses on disposal of fixed assets and operations</t>
  </si>
  <si>
    <t>Salaries and personnel costs</t>
  </si>
  <si>
    <t xml:space="preserve">Operating profit </t>
  </si>
  <si>
    <t>Deferred tax assets</t>
  </si>
  <si>
    <t>Goodwill</t>
  </si>
  <si>
    <t>Intangible assets</t>
  </si>
  <si>
    <t>Serbia</t>
  </si>
  <si>
    <t>Other income and expenses</t>
  </si>
  <si>
    <t>Total EBITDA before other income and expenses</t>
  </si>
  <si>
    <t>EBITDA before other income and expenses/ Total revenues (%)</t>
  </si>
  <si>
    <t>Capex excl. licences and spectrum</t>
  </si>
  <si>
    <t>Accumulated Figures</t>
  </si>
  <si>
    <t>Quarterly Figures</t>
  </si>
  <si>
    <t>INPUT Quarter</t>
  </si>
  <si>
    <t>Total current assets</t>
  </si>
  <si>
    <t>Total assets</t>
  </si>
  <si>
    <t>EBITDA before other items</t>
  </si>
  <si>
    <t>Other items - "Workforce reductions and loss contracts" - external</t>
  </si>
  <si>
    <t>Other items - "Workforce reductions and loss contracts" - internal</t>
  </si>
  <si>
    <t>Sum Other items</t>
  </si>
  <si>
    <t>Profit/Loss Associated Comp.</t>
  </si>
  <si>
    <t>Profit/Loss before Taxes and Minority interests</t>
  </si>
  <si>
    <t>EBITDA before other items - margin</t>
  </si>
  <si>
    <t>Operating profit margin</t>
  </si>
  <si>
    <t>Grameenphone</t>
  </si>
  <si>
    <t>Total capex</t>
  </si>
  <si>
    <t>Total investments in businesses</t>
  </si>
  <si>
    <t>Effects of exchange rate changes on cash and cash equivalents</t>
  </si>
  <si>
    <t>Grameenphone - Bangladesh</t>
  </si>
  <si>
    <t>CONSOLIDATED INCOME STATEMENT</t>
  </si>
  <si>
    <t>Total equity</t>
  </si>
  <si>
    <t>Total non-current assets</t>
  </si>
  <si>
    <t>Operating profit / (loss)</t>
  </si>
  <si>
    <t>EBITDA margin</t>
  </si>
  <si>
    <t>Workforce reductions and loss contracts</t>
  </si>
  <si>
    <t>Pension obligations</t>
  </si>
  <si>
    <t>Deferred tax liabilities</t>
  </si>
  <si>
    <t>Total depreciation and amortisation</t>
  </si>
  <si>
    <t>BROADCAST</t>
  </si>
  <si>
    <t>Other income and expenses:</t>
  </si>
  <si>
    <t>Q1</t>
  </si>
  <si>
    <t>Q2</t>
  </si>
  <si>
    <t>CONSOLIDATED STATEMENT OF CASH FLOWS</t>
  </si>
  <si>
    <t>Q3</t>
  </si>
  <si>
    <t>Q4</t>
  </si>
  <si>
    <t>Fixed</t>
  </si>
  <si>
    <t>Actual</t>
  </si>
  <si>
    <t>FORKOR</t>
  </si>
  <si>
    <t>C30</t>
  </si>
  <si>
    <t>Telenor.BASWEDEN</t>
  </si>
  <si>
    <t>Telenor.BADENMARK</t>
  </si>
  <si>
    <t>Telenor.BROADCAST</t>
  </si>
  <si>
    <t>Telenor.BAOTHER</t>
  </si>
  <si>
    <t>External.Telenor</t>
  </si>
  <si>
    <t>C40</t>
  </si>
  <si>
    <t>(NOK in millions except earnings per share)</t>
  </si>
  <si>
    <t>Telenor group</t>
  </si>
  <si>
    <t>(NOK in millions)</t>
  </si>
  <si>
    <t>3M</t>
  </si>
  <si>
    <t>6M</t>
  </si>
  <si>
    <t>9M</t>
  </si>
  <si>
    <t>12M</t>
  </si>
  <si>
    <t>Costs of materials and traffic charges</t>
  </si>
  <si>
    <t>Other operating expenses</t>
  </si>
  <si>
    <t>Operating profit</t>
  </si>
  <si>
    <t>EBITDA</t>
  </si>
  <si>
    <t>Year</t>
  </si>
  <si>
    <t>Revenues</t>
  </si>
  <si>
    <t>Profit before taxes</t>
  </si>
  <si>
    <t>Basic</t>
  </si>
  <si>
    <t>Diluted</t>
  </si>
  <si>
    <t xml:space="preserve">Adjusted profit before taxes </t>
  </si>
  <si>
    <t>Gains (losses) on disposal of ownership interests</t>
  </si>
  <si>
    <t>Customer base</t>
  </si>
  <si>
    <t>SP90008</t>
  </si>
  <si>
    <t>P1A100</t>
  </si>
  <si>
    <t>SPECIAL ITEMS</t>
  </si>
  <si>
    <t>Total workforce reductions and loss contracts</t>
  </si>
  <si>
    <t>EBITDA before other income and expenses</t>
  </si>
  <si>
    <t>Adjusted operating profit</t>
  </si>
  <si>
    <t>Other mobile revenues </t>
  </si>
  <si>
    <t>Inventories</t>
  </si>
  <si>
    <t>Trade and other receivables</t>
  </si>
  <si>
    <t>Provisions and obligations</t>
  </si>
  <si>
    <t>Trade and other payables</t>
  </si>
  <si>
    <t>Total</t>
  </si>
  <si>
    <t>Total revenues fixed operation</t>
  </si>
  <si>
    <t>nm</t>
  </si>
  <si>
    <t>One-time effects to pension costs</t>
  </si>
  <si>
    <t>- Telephony</t>
  </si>
  <si>
    <t>- xDSL</t>
  </si>
  <si>
    <t>- LLUB</t>
  </si>
  <si>
    <t>Please note - As a result of rounding differences, numbers or percentages may not add up to the total.</t>
  </si>
  <si>
    <t>Net financial income (expenses)</t>
  </si>
  <si>
    <t>Income taxes</t>
  </si>
  <si>
    <t>Dividends paid to equity holders of Telenor ASA</t>
  </si>
  <si>
    <t>CONSOLIDATED STATEMENT OF FINANCIAL POSITION</t>
  </si>
  <si>
    <t>Total gains (losses) on disposal of fixed assets and operations</t>
  </si>
  <si>
    <t>Gains (losses) on disposal and impaiment losses associated companies</t>
  </si>
  <si>
    <t>Net gains (losses) and impaiment losses financial items</t>
  </si>
  <si>
    <t>INR/NOK</t>
  </si>
  <si>
    <t>Net cash flow from investing activities</t>
  </si>
  <si>
    <t>Telenor - Hungary</t>
  </si>
  <si>
    <t>Montenegro</t>
  </si>
  <si>
    <t>No. of mobile subscriptions (Consolidated)</t>
  </si>
  <si>
    <t>Net (gains) losses from disposals, impairments and change in fair value of financial assets and liabilities</t>
  </si>
  <si>
    <t>Share buyback by Telenor ASA</t>
  </si>
  <si>
    <t>Satellite Broadcasting</t>
  </si>
  <si>
    <t>Norkring</t>
  </si>
  <si>
    <t>Conax</t>
  </si>
  <si>
    <t>Canal Digital DTH</t>
  </si>
  <si>
    <t>Internet and TV</t>
  </si>
  <si>
    <t>- Internet</t>
  </si>
  <si>
    <t>No. of subscriptions retail market (in thousands):</t>
  </si>
  <si>
    <t>ARPU in the quarter - Telephony</t>
  </si>
  <si>
    <t>ARPU in the quarter - Internet</t>
  </si>
  <si>
    <t>ARPU in the quarter - TV</t>
  </si>
  <si>
    <t>No. of subscriptions wholesale market (in thousands):</t>
  </si>
  <si>
    <t>Telephony subscriptions</t>
  </si>
  <si>
    <t>xDSL subscriptions</t>
  </si>
  <si>
    <t>LLUB</t>
  </si>
  <si>
    <t>- TV subscribers</t>
  </si>
  <si>
    <t>Revenue</t>
  </si>
  <si>
    <t xml:space="preserve">Impairment losses </t>
  </si>
  <si>
    <t xml:space="preserve">Depreciation and amortisation </t>
  </si>
  <si>
    <t>RSD/NOK</t>
  </si>
  <si>
    <t>No. of Internet subscriptions (in thousands)</t>
  </si>
  <si>
    <t>No. of TV subscriptions (in thousands)</t>
  </si>
  <si>
    <t>TGS</t>
  </si>
  <si>
    <t>Corporate functions</t>
  </si>
  <si>
    <t xml:space="preserve">- TV </t>
  </si>
  <si>
    <t>DS Portfolio</t>
  </si>
  <si>
    <t>Depreciation and amortization</t>
  </si>
  <si>
    <t>Prepaid taxes</t>
  </si>
  <si>
    <t>Current tax payables</t>
  </si>
  <si>
    <t xml:space="preserve">Current non-interest-bearing liabilities </t>
  </si>
  <si>
    <t>Currency (gains) losses not related to operating activities</t>
  </si>
  <si>
    <t>Net income (loss)</t>
  </si>
  <si>
    <t>dtac - Thailand</t>
  </si>
  <si>
    <t>Bulgaria</t>
  </si>
  <si>
    <t>BGN/NOK</t>
  </si>
  <si>
    <t>Globul - Bulgaria</t>
  </si>
  <si>
    <t xml:space="preserve">Profit (loss) before taxes </t>
  </si>
  <si>
    <t>Myanmar</t>
  </si>
  <si>
    <t>Share of net income from associated companies and joint ventures</t>
  </si>
  <si>
    <t>Gain on disposal of associated companies and joint ventures</t>
  </si>
  <si>
    <t>Associated companies and joint ventures</t>
  </si>
  <si>
    <t>Loss (profit) from associated companies and joint ventures</t>
  </si>
  <si>
    <t>MMK/NOK</t>
  </si>
  <si>
    <t>Montengro &amp; Serbia</t>
  </si>
  <si>
    <t>Montenegro &amp; Serbia</t>
  </si>
  <si>
    <r>
      <t xml:space="preserve">Total revenues </t>
    </r>
    <r>
      <rPr>
        <vertAlign val="superscript"/>
        <sz val="12"/>
        <rFont val="Arial"/>
        <family val="2"/>
      </rPr>
      <t>1) 2)</t>
    </r>
  </si>
  <si>
    <t xml:space="preserve"> -Revenues in Montengro</t>
  </si>
  <si>
    <t xml:space="preserve"> -Revenues in Serbia</t>
  </si>
  <si>
    <t xml:space="preserve"> -Eliminations</t>
  </si>
  <si>
    <r>
      <t>2)</t>
    </r>
    <r>
      <rPr>
        <i/>
        <sz val="12"/>
        <rFont val="Arial"/>
        <family val="2"/>
      </rPr>
      <t xml:space="preserve"> Total revenues of which: </t>
    </r>
  </si>
  <si>
    <t>EBITDA (boi)</t>
  </si>
  <si>
    <t>OCF</t>
  </si>
  <si>
    <t>Other income</t>
  </si>
  <si>
    <t>Other expenses</t>
  </si>
  <si>
    <t>Other current financial assets</t>
  </si>
  <si>
    <t>Change</t>
  </si>
  <si>
    <t>Group revenues</t>
  </si>
  <si>
    <t>Purchases of subsidiaries, associated companies and joint ventures, net of cash acquired</t>
  </si>
  <si>
    <t>EBITDA before other income and other expenses</t>
  </si>
  <si>
    <t>Special items associated companies and joint ventures</t>
  </si>
  <si>
    <t>Gains (losses) on disposal and impaiment losses</t>
  </si>
  <si>
    <t>dtac</t>
  </si>
  <si>
    <t>Digi - Malaysia</t>
  </si>
  <si>
    <t>Bularia</t>
  </si>
  <si>
    <t>This year</t>
  </si>
  <si>
    <t>Last year</t>
  </si>
  <si>
    <t>Changes in working capital and other</t>
  </si>
  <si>
    <t>Profit before taxes from total operation</t>
  </si>
  <si>
    <t>Manual update</t>
  </si>
  <si>
    <t>Global wholesale</t>
  </si>
  <si>
    <t>Digi</t>
  </si>
  <si>
    <t>Pakistan*</t>
  </si>
  <si>
    <t>*As of third quarter 2015 international voice traffic previously reported as part of Telenor Pakistan are now reported under Global Wholesale, which is part of Other Units. The financial information for previous periods is restated accordingly.</t>
  </si>
  <si>
    <t>Digital Businesses</t>
  </si>
  <si>
    <t>Dividends paid to and purchases of shares from non-controlling interests</t>
  </si>
  <si>
    <t>Total capex excl. licences and spectrum</t>
  </si>
  <si>
    <t>*Financial information related to the financial services operation in Myanmar is now reported as part of Other units. The financial information for 2015 has been restated to reflect this.</t>
  </si>
  <si>
    <t>Myanmar*</t>
  </si>
  <si>
    <t>Denmark*</t>
  </si>
  <si>
    <t>OTHER UNITS*</t>
  </si>
  <si>
    <t xml:space="preserve">* From 31 March 2016, pay-as-you-go cards will no longer be part of Telenor Denmark’s product offering. Subscription and ARPU figures have been updated retrospectively. </t>
  </si>
  <si>
    <t>Server:Tlnphyp03.Gi.Telenor.com</t>
  </si>
  <si>
    <t>All Counterparts</t>
  </si>
  <si>
    <t>All Products</t>
  </si>
  <si>
    <t>All Systems</t>
  </si>
  <si>
    <t>All Functions</t>
  </si>
  <si>
    <t>All Reserves</t>
  </si>
  <si>
    <t>All Legal Entities</t>
  </si>
  <si>
    <t>All Projects</t>
  </si>
  <si>
    <t>All Currencies</t>
  </si>
  <si>
    <t>All GL Sources</t>
  </si>
  <si>
    <t>Accumulated</t>
  </si>
  <si>
    <t>Q1 14</t>
  </si>
  <si>
    <t>Q2 14</t>
  </si>
  <si>
    <t>Q3 14</t>
  </si>
  <si>
    <t>Q4 14</t>
  </si>
  <si>
    <t>Q1 15</t>
  </si>
  <si>
    <t>Q2 15</t>
  </si>
  <si>
    <t>Q3 15</t>
  </si>
  <si>
    <t>Q4 15</t>
  </si>
  <si>
    <t>Q1 16</t>
  </si>
  <si>
    <t>Dec 15</t>
  </si>
  <si>
    <t>Digital Businesses:</t>
  </si>
  <si>
    <t>Deducted from:</t>
  </si>
  <si>
    <t>REVENUES:</t>
  </si>
  <si>
    <t>C30 REVENUES (ac)</t>
  </si>
  <si>
    <t>SUMSE Digital Businesses (un.FJ)</t>
  </si>
  <si>
    <t>Corporate Functions</t>
  </si>
  <si>
    <t>C010 Digital Admin (un.CN)</t>
  </si>
  <si>
    <t>NBATAPAD Tapad Business Area Group in NOK (un)</t>
  </si>
  <si>
    <t>0</t>
  </si>
  <si>
    <t>UKOCXN Telenor Connexion Group (un)</t>
  </si>
  <si>
    <t xml:space="preserve">Sum Revenues Digital Business </t>
  </si>
  <si>
    <t>COGS:</t>
  </si>
  <si>
    <t>C40S Total Cost of Materials and Traffic Charges (ac)</t>
  </si>
  <si>
    <t>Sum COGS Digital Businesses</t>
  </si>
  <si>
    <t>OPEX:</t>
  </si>
  <si>
    <t>C70 Total Operating Expenses (ac)</t>
  </si>
  <si>
    <t>Sum OPEX Digital Businesses</t>
  </si>
  <si>
    <t>EBITDA_BOI:</t>
  </si>
  <si>
    <t>EBITDA_BOI (ac)</t>
  </si>
  <si>
    <t>Sum EBITDA_BOI Digital Businesses</t>
  </si>
  <si>
    <t>Revenue adjustment</t>
  </si>
  <si>
    <t>EBITDA and EBIT adjustment</t>
  </si>
  <si>
    <t>Manual adjustments for the Q1-2016 Webfile (NOK m)</t>
  </si>
  <si>
    <t>Total Revenues fixed operation</t>
  </si>
  <si>
    <r>
      <t xml:space="preserve">Total revenues </t>
    </r>
    <r>
      <rPr>
        <b/>
        <vertAlign val="superscript"/>
        <sz val="12"/>
        <rFont val="Arial"/>
        <family val="2"/>
      </rPr>
      <t>1)</t>
    </r>
  </si>
  <si>
    <t>ARPU in the quarter</t>
  </si>
  <si>
    <t>No. of television subscribers in the Nordic region (in thousands)</t>
  </si>
  <si>
    <t>No. of man</t>
  </si>
  <si>
    <t>Proceeds from disposal of PPE, intangible assets, associated companies and businesses, net of cash disposed</t>
  </si>
  <si>
    <t>Proceeds from sale and purchases of other investments</t>
  </si>
  <si>
    <t xml:space="preserve">   - of which prepaid</t>
  </si>
  <si>
    <t xml:space="preserve">   - of which contract</t>
  </si>
  <si>
    <t xml:space="preserve">  - DTH pay TV subscribers </t>
  </si>
  <si>
    <t xml:space="preserve">  - of which outside Norway</t>
  </si>
  <si>
    <t>No. of man-years per reporting segment:</t>
  </si>
  <si>
    <r>
      <t xml:space="preserve">3) </t>
    </r>
    <r>
      <rPr>
        <sz val="12"/>
        <rFont val="Arial"/>
        <family val="2"/>
      </rPr>
      <t>Of which:</t>
    </r>
  </si>
  <si>
    <r>
      <t>Total amortisation of other intangible assets</t>
    </r>
    <r>
      <rPr>
        <b/>
        <vertAlign val="superscript"/>
        <sz val="12"/>
        <rFont val="Arial"/>
        <family val="2"/>
      </rPr>
      <t xml:space="preserve"> 3)</t>
    </r>
  </si>
  <si>
    <r>
      <t xml:space="preserve">Depreciation </t>
    </r>
    <r>
      <rPr>
        <vertAlign val="superscript"/>
        <sz val="12"/>
        <rFont val="Arial"/>
        <family val="2"/>
      </rPr>
      <t>1)</t>
    </r>
  </si>
  <si>
    <r>
      <t>Amortisation</t>
    </r>
    <r>
      <rPr>
        <vertAlign val="superscript"/>
        <sz val="12"/>
        <rFont val="Arial"/>
        <family val="2"/>
      </rPr>
      <t xml:space="preserve"> 2) </t>
    </r>
  </si>
  <si>
    <r>
      <t xml:space="preserve">Impairment losses </t>
    </r>
    <r>
      <rPr>
        <vertAlign val="superscript"/>
        <sz val="12"/>
        <rFont val="Arial"/>
        <family val="2"/>
      </rPr>
      <t>1)</t>
    </r>
  </si>
  <si>
    <r>
      <t xml:space="preserve">Impairment losses </t>
    </r>
    <r>
      <rPr>
        <vertAlign val="superscript"/>
        <sz val="12"/>
        <rFont val="Arial"/>
        <family val="2"/>
      </rPr>
      <t>2)</t>
    </r>
  </si>
  <si>
    <r>
      <t xml:space="preserve">1) </t>
    </r>
    <r>
      <rPr>
        <sz val="12"/>
        <rFont val="Arial"/>
        <family val="2"/>
      </rPr>
      <t>Tangible assets (property, plant and equipment)</t>
    </r>
  </si>
  <si>
    <r>
      <t xml:space="preserve">2) </t>
    </r>
    <r>
      <rPr>
        <sz val="12"/>
        <rFont val="Arial"/>
        <family val="2"/>
      </rPr>
      <t>Other intangible assets and prepaid lease payments.</t>
    </r>
  </si>
  <si>
    <r>
      <t xml:space="preserve">1) </t>
    </r>
    <r>
      <rPr>
        <b/>
        <sz val="12"/>
        <rFont val="Arial"/>
        <family val="2"/>
      </rPr>
      <t>Depreciation of property, plant and equipment</t>
    </r>
  </si>
  <si>
    <r>
      <t xml:space="preserve">2) </t>
    </r>
    <r>
      <rPr>
        <b/>
        <sz val="12"/>
        <rFont val="Arial"/>
        <family val="2"/>
      </rPr>
      <t>Amortisation of other intangible assets and prepaid lease payments</t>
    </r>
  </si>
  <si>
    <r>
      <t xml:space="preserve">Cash and cash equivalents at the end of the period </t>
    </r>
    <r>
      <rPr>
        <b/>
        <vertAlign val="superscript"/>
        <sz val="12"/>
        <rFont val="Arial"/>
        <family val="2"/>
      </rPr>
      <t>1)</t>
    </r>
  </si>
  <si>
    <r>
      <rPr>
        <i/>
        <vertAlign val="superscript"/>
        <sz val="11"/>
        <rFont val="Arial"/>
        <family val="2"/>
      </rPr>
      <t>1)</t>
    </r>
    <r>
      <rPr>
        <i/>
        <sz val="11"/>
        <rFont val="Arial"/>
        <family val="2"/>
      </rPr>
      <t xml:space="preserve"> As of 31 September 2016, restricted cash was NOK 542 million, while as of 31 September 2015, restricted cash was NOK 371 million</t>
    </r>
  </si>
  <si>
    <t>Average outstanding shares*</t>
  </si>
  <si>
    <t>Outstanding shares* during the quarter.</t>
  </si>
  <si>
    <t>Outstanding shares* year to date.</t>
  </si>
  <si>
    <t>* Weighted average number of ordinary outstanding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</si>
</sst>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_ * #,##0_ ;_ * \-#,##0_ ;_ * &quot;-&quot;??_ ;_ @_ "/>
    <numFmt numFmtId="166" formatCode="_ * #\ ##0_ ;_ * \-#\ ##0_ ;_ * &quot;-&quot;_ ;_ @_ "/>
    <numFmt numFmtId="167" formatCode="_(* #,##0_);_(* \(#,##0\);_(* &quot;-&quot;??_);_(@_)"/>
    <numFmt numFmtId="168" formatCode="0.0\ %"/>
    <numFmt numFmtId="169" formatCode="_(* #,##0.00_);_(* \(#,##0.00\);_(* &quot;-&quot;_);_(@_)"/>
    <numFmt numFmtId="170" formatCode="_(* #,##0.0_);_(* \(#,##0.0\);_(* &quot;-&quot;??_);_(@_)"/>
    <numFmt numFmtId="171" formatCode="0.0000"/>
    <numFmt numFmtId="172" formatCode="#,##0;[Red]&quot;-&quot;#,##0"/>
    <numFmt numFmtId="173" formatCode="#,##0,,_);[Red]\(#,##0,,\)"/>
    <numFmt numFmtId="174" formatCode="0.0"/>
    <numFmt numFmtId="175" formatCode="#,##0,;\-#,##0,"/>
    <numFmt numFmtId="176" formatCode="#,##0_ ;\-#,##0\ "/>
    <numFmt numFmtId="177" formatCode="_ * #,##0.0_ ;_ * \-#,##0.0_ ;_ * &quot;-&quot;?_ ;_ @_ "/>
    <numFmt numFmtId="178" formatCode="_-* #,##0.00_-;\-* #,##0.00_-;_-* &quot;-&quot;??_-;_-@_-"/>
    <numFmt numFmtId="179" formatCode="#,##0.00000"/>
  </numFmts>
  <fonts count="9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6"/>
      <name val="Arial"/>
      <family val="2"/>
    </font>
    <font>
      <b/>
      <sz val="12"/>
      <name val="Arial"/>
      <family val="2"/>
    </font>
    <font>
      <b/>
      <sz val="10"/>
      <name val="Arial"/>
      <family val="2"/>
    </font>
    <font>
      <b/>
      <sz val="12"/>
      <color indexed="10"/>
      <name val="Arial"/>
      <family val="2"/>
    </font>
    <font>
      <sz val="11"/>
      <name val="Arial"/>
      <family val="2"/>
    </font>
    <font>
      <sz val="10"/>
      <name val="Arial"/>
      <family val="2"/>
    </font>
    <font>
      <vertAlign val="superscript"/>
      <sz val="12"/>
      <name val="Arial"/>
      <family val="2"/>
    </font>
    <font>
      <b/>
      <sz val="14"/>
      <name val="Arial"/>
      <family val="2"/>
    </font>
    <font>
      <b/>
      <sz val="12"/>
      <color indexed="9"/>
      <name val="Arial"/>
      <family val="2"/>
    </font>
    <font>
      <sz val="8"/>
      <name val="Arial"/>
      <family val="2"/>
    </font>
    <font>
      <b/>
      <sz val="9"/>
      <name val="Arial"/>
      <family val="2"/>
    </font>
    <font>
      <b/>
      <sz val="8"/>
      <name val="Arial"/>
      <family val="2"/>
    </font>
    <font>
      <b/>
      <sz val="8"/>
      <color indexed="9"/>
      <name val="Arial"/>
      <family val="2"/>
    </font>
    <font>
      <sz val="9"/>
      <name val="Arial"/>
      <family val="2"/>
    </font>
    <font>
      <b/>
      <sz val="12"/>
      <color indexed="9"/>
      <name val="Arial"/>
      <family val="2"/>
    </font>
    <font>
      <i/>
      <sz val="12"/>
      <name val="Arial"/>
      <family val="2"/>
    </font>
    <font>
      <b/>
      <sz val="8"/>
      <name val="Arial"/>
      <family val="2"/>
    </font>
    <font>
      <b/>
      <vertAlign val="superscript"/>
      <sz val="12"/>
      <name val="Arial"/>
      <family val="2"/>
    </font>
    <font>
      <sz val="12"/>
      <name val="Palatino"/>
      <family val="1"/>
    </font>
    <font>
      <i/>
      <sz val="9"/>
      <name val="Arial"/>
      <family val="2"/>
    </font>
    <font>
      <sz val="10"/>
      <name val="Helv"/>
    </font>
    <font>
      <sz val="8"/>
      <name val="Frutiger 55"/>
      <family val="2"/>
    </font>
    <font>
      <sz val="9"/>
      <name val="MS Sans Serif"/>
      <family val="2"/>
    </font>
    <font>
      <sz val="10"/>
      <name val="Helvetica"/>
      <family val="2"/>
    </font>
    <font>
      <b/>
      <sz val="24"/>
      <color indexed="12"/>
      <name val="MS Sans Serif"/>
      <family val="2"/>
    </font>
    <font>
      <sz val="10"/>
      <name val="MS Sans Serif"/>
      <family val="2"/>
    </font>
    <font>
      <sz val="8"/>
      <name val="Arial"/>
      <family val="2"/>
    </font>
    <font>
      <b/>
      <sz val="8"/>
      <color indexed="9"/>
      <name val="Arial"/>
      <family val="2"/>
    </font>
    <font>
      <sz val="6"/>
      <name val="Univers (WN)"/>
    </font>
    <font>
      <sz val="10"/>
      <name val="BERNHARD"/>
    </font>
    <font>
      <sz val="1"/>
      <color indexed="8"/>
      <name val="Courier"/>
      <family val="3"/>
    </font>
    <font>
      <b/>
      <sz val="1"/>
      <color indexed="8"/>
      <name val="Courier"/>
      <family val="3"/>
    </font>
    <font>
      <b/>
      <i/>
      <sz val="18"/>
      <color indexed="9"/>
      <name val="Times New Roman"/>
      <family val="1"/>
    </font>
    <font>
      <b/>
      <i/>
      <sz val="24"/>
      <color indexed="10"/>
      <name val="Arial"/>
      <family val="2"/>
    </font>
    <font>
      <b/>
      <i/>
      <sz val="14"/>
      <name val="Arial"/>
      <family val="2"/>
    </font>
    <font>
      <sz val="8"/>
      <name val="Helv"/>
    </font>
    <font>
      <b/>
      <sz val="16"/>
      <name val="Arial"/>
      <family val="2"/>
    </font>
    <font>
      <b/>
      <u/>
      <sz val="10"/>
      <name val="Arial"/>
      <family val="2"/>
    </font>
    <font>
      <sz val="12"/>
      <color indexed="18"/>
      <name val="Arial"/>
      <family val="2"/>
    </font>
    <font>
      <sz val="12"/>
      <color indexed="54"/>
      <name val="Arial"/>
      <family val="2"/>
    </font>
    <font>
      <sz val="10"/>
      <color indexed="8"/>
      <name val="Arial"/>
      <family val="2"/>
    </font>
    <font>
      <b/>
      <sz val="8"/>
      <color indexed="10"/>
      <name val="Arial"/>
      <family val="2"/>
    </font>
    <font>
      <sz val="10"/>
      <name val="Arial"/>
      <family val="2"/>
    </font>
    <font>
      <sz val="9.4"/>
      <name val="Arial"/>
      <family val="2"/>
    </font>
    <font>
      <sz val="10"/>
      <color rgb="FFFF0000"/>
      <name val="Arial"/>
      <family val="2"/>
    </font>
    <font>
      <sz val="8"/>
      <color rgb="FFFF0000"/>
      <name val="Arial"/>
      <family val="2"/>
    </font>
    <font>
      <sz val="9"/>
      <color indexed="81"/>
      <name val="Tahoma"/>
      <family val="2"/>
    </font>
    <font>
      <b/>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2"/>
      <name val="palatino"/>
    </font>
    <font>
      <sz val="10"/>
      <name val="Helvetica"/>
    </font>
    <font>
      <sz val="10"/>
      <name val="Calibri"/>
      <family val="2"/>
    </font>
    <font>
      <sz val="9"/>
      <color indexed="9"/>
      <name val="Arial"/>
      <family val="2"/>
    </font>
    <font>
      <sz val="11"/>
      <color indexed="9"/>
      <name val="Calibri"/>
      <family val="2"/>
      <scheme val="minor"/>
    </font>
    <font>
      <sz val="11"/>
      <color indexed="8"/>
      <name val="Calibri"/>
      <family val="2"/>
      <scheme val="minor"/>
    </font>
    <font>
      <b/>
      <sz val="11"/>
      <color indexed="52"/>
      <name val="Calibri"/>
      <family val="2"/>
      <scheme val="minor"/>
    </font>
    <font>
      <b/>
      <sz val="11"/>
      <color indexed="8"/>
      <name val="Calibri"/>
      <family val="2"/>
      <scheme val="minor"/>
    </font>
    <font>
      <b/>
      <sz val="15"/>
      <color theme="3"/>
      <name val="Calibri"/>
      <family val="2"/>
      <scheme val="minor"/>
    </font>
    <font>
      <b/>
      <sz val="13"/>
      <color theme="3"/>
      <name val="Calibri"/>
      <family val="2"/>
      <scheme val="minor"/>
    </font>
    <font>
      <sz val="11"/>
      <color indexed="52"/>
      <name val="Calibri"/>
      <family val="2"/>
      <scheme val="minor"/>
    </font>
    <font>
      <sz val="11"/>
      <color indexed="60"/>
      <name val="Calibri"/>
      <family val="2"/>
      <scheme val="minor"/>
    </font>
    <font>
      <b/>
      <sz val="11"/>
      <color indexed="9"/>
      <name val="Calibri"/>
      <family val="2"/>
      <scheme val="minor"/>
    </font>
    <font>
      <sz val="11"/>
      <color indexed="53"/>
      <name val="Calibri"/>
      <family val="2"/>
      <scheme val="minor"/>
    </font>
    <font>
      <i/>
      <vertAlign val="superscript"/>
      <sz val="12"/>
      <name val="Arial"/>
      <family val="2"/>
    </font>
    <font>
      <sz val="10"/>
      <color theme="0"/>
      <name val="Arial"/>
      <family val="2"/>
    </font>
    <font>
      <sz val="9.5"/>
      <name val="Arial"/>
      <family val="2"/>
    </font>
    <font>
      <i/>
      <sz val="8"/>
      <color rgb="FFFF0000"/>
      <name val="Arial"/>
      <family val="2"/>
    </font>
    <font>
      <sz val="8"/>
      <color theme="0"/>
      <name val="Arial"/>
      <family val="2"/>
    </font>
    <font>
      <i/>
      <sz val="11"/>
      <name val="Arial"/>
      <family val="2"/>
    </font>
    <font>
      <i/>
      <vertAlign val="superscript"/>
      <sz val="11"/>
      <name val="Arial"/>
      <family val="2"/>
    </font>
  </fonts>
  <fills count="64">
    <fill>
      <patternFill patternType="none"/>
    </fill>
    <fill>
      <patternFill patternType="gray125"/>
    </fill>
    <fill>
      <patternFill patternType="solid">
        <fgColor indexed="22"/>
      </patternFill>
    </fill>
    <fill>
      <patternFill patternType="solid">
        <fgColor indexed="9"/>
        <bgColor indexed="64"/>
      </patternFill>
    </fill>
    <fill>
      <patternFill patternType="solid">
        <fgColor indexed="31"/>
        <bgColor indexed="64"/>
      </patternFill>
    </fill>
    <fill>
      <patternFill patternType="solid">
        <fgColor indexed="13"/>
        <bgColor indexed="13"/>
      </patternFill>
    </fill>
    <fill>
      <patternFill patternType="solid">
        <fgColor indexed="8"/>
        <bgColor indexed="64"/>
      </patternFill>
    </fill>
    <fill>
      <patternFill patternType="solid">
        <fgColor indexed="20"/>
      </patternFill>
    </fill>
    <fill>
      <patternFill patternType="solid">
        <fgColor indexed="24"/>
        <bgColor indexed="64"/>
      </patternFill>
    </fill>
    <fill>
      <patternFill patternType="solid">
        <fgColor indexed="22"/>
        <bgColor indexed="64"/>
      </patternFill>
    </fill>
    <fill>
      <patternFill patternType="solid">
        <fgColor indexed="39"/>
        <bgColor indexed="64"/>
      </patternFill>
    </fill>
    <fill>
      <patternFill patternType="solid">
        <fgColor indexed="18"/>
        <bgColor indexed="64"/>
      </patternFill>
    </fill>
    <fill>
      <patternFill patternType="solid">
        <fgColor indexed="36"/>
        <bgColor indexed="64"/>
      </patternFill>
    </fill>
    <fill>
      <patternFill patternType="solid">
        <fgColor indexed="44"/>
        <bgColor indexed="64"/>
      </patternFill>
    </fill>
    <fill>
      <patternFill patternType="solid">
        <fgColor indexed="32"/>
        <bgColor indexed="64"/>
      </patternFill>
    </fill>
    <fill>
      <patternFill patternType="solid">
        <fgColor rgb="FFFFC000"/>
        <bgColor indexed="64"/>
      </patternFill>
    </fill>
    <fill>
      <patternFill patternType="solid">
        <fgColor rgb="FFFFFF00"/>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rgb="FF00B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patternFill>
    </fill>
    <fill>
      <patternFill patternType="solid">
        <fgColor indexed="29"/>
      </patternFill>
    </fill>
    <fill>
      <patternFill patternType="solid">
        <fgColor indexed="11"/>
      </patternFill>
    </fill>
    <fill>
      <patternFill patternType="solid">
        <fgColor indexed="8"/>
      </patternFill>
    </fill>
    <fill>
      <patternFill patternType="solid">
        <fgColor indexed="49"/>
      </patternFill>
    </fill>
    <fill>
      <patternFill patternType="solid">
        <fgColor indexed="53"/>
      </patternFill>
    </fill>
    <fill>
      <patternFill patternType="solid">
        <fgColor indexed="57"/>
      </patternFill>
    </fill>
    <fill>
      <patternFill patternType="solid">
        <fgColor indexed="45"/>
      </patternFill>
    </fill>
    <fill>
      <patternFill patternType="solid">
        <fgColor rgb="FF00B050"/>
        <bgColor indexed="64"/>
      </patternFill>
    </fill>
    <fill>
      <patternFill patternType="solid">
        <fgColor theme="4" tint="0.79998168889431442"/>
        <bgColor indexed="64"/>
      </patternFill>
    </fill>
    <fill>
      <patternFill patternType="solid">
        <fgColor rgb="FFDCE6F1"/>
        <bgColor indexed="64"/>
      </patternFill>
    </fill>
  </fills>
  <borders count="78">
    <border>
      <left/>
      <right/>
      <top/>
      <bottom/>
      <diagonal/>
    </border>
    <border>
      <left/>
      <right/>
      <top style="thick">
        <color indexed="9"/>
      </top>
      <bottom style="thick">
        <color indexed="9"/>
      </bottom>
      <diagonal/>
    </border>
    <border>
      <left style="thick">
        <color indexed="9"/>
      </left>
      <right/>
      <top style="thick">
        <color indexed="9"/>
      </top>
      <bottom style="thick">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9"/>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
      <left style="medium">
        <color indexed="9"/>
      </left>
      <right/>
      <top/>
      <bottom style="medium">
        <color indexed="9"/>
      </bottom>
      <diagonal/>
    </border>
    <border>
      <left/>
      <right style="medium">
        <color indexed="9"/>
      </right>
      <top/>
      <bottom style="medium">
        <color indexed="9"/>
      </bottom>
      <diagonal/>
    </border>
    <border>
      <left/>
      <right/>
      <top/>
      <bottom style="medium">
        <color indexed="24"/>
      </bottom>
      <diagonal/>
    </border>
    <border>
      <left/>
      <right/>
      <top/>
      <bottom style="thin">
        <color indexed="24"/>
      </bottom>
      <diagonal/>
    </border>
    <border>
      <left/>
      <right/>
      <top style="dotted">
        <color indexed="24"/>
      </top>
      <bottom style="dotted">
        <color indexed="24"/>
      </bottom>
      <diagonal/>
    </border>
    <border>
      <left/>
      <right/>
      <top style="thin">
        <color indexed="24"/>
      </top>
      <bottom style="dotted">
        <color indexed="24"/>
      </bottom>
      <diagonal/>
    </border>
    <border>
      <left/>
      <right/>
      <top style="dotted">
        <color indexed="24"/>
      </top>
      <bottom style="thin">
        <color indexed="24"/>
      </bottom>
      <diagonal/>
    </border>
    <border>
      <left/>
      <right/>
      <top/>
      <bottom style="dotted">
        <color indexed="24"/>
      </bottom>
      <diagonal/>
    </border>
    <border>
      <left/>
      <right/>
      <top style="thin">
        <color indexed="24"/>
      </top>
      <bottom/>
      <diagonal/>
    </border>
    <border>
      <left style="thin">
        <color indexed="64"/>
      </left>
      <right/>
      <top style="thin">
        <color indexed="64"/>
      </top>
      <bottom/>
      <diagonal/>
    </border>
    <border>
      <left/>
      <right/>
      <top/>
      <bottom style="thin">
        <color indexed="33"/>
      </bottom>
      <diagonal/>
    </border>
    <border>
      <left/>
      <right/>
      <top style="thin">
        <color indexed="24"/>
      </top>
      <bottom style="thin">
        <color indexed="24"/>
      </bottom>
      <diagonal/>
    </border>
    <border>
      <left/>
      <right/>
      <top style="dotted">
        <color indexed="24"/>
      </top>
      <bottom/>
      <diagonal/>
    </border>
    <border>
      <left style="medium">
        <color indexed="9"/>
      </left>
      <right style="thin">
        <color indexed="64"/>
      </right>
      <top/>
      <bottom style="medium">
        <color indexed="9"/>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9"/>
      </top>
      <bottom/>
      <diagonal/>
    </border>
    <border>
      <left style="thin">
        <color indexed="64"/>
      </left>
      <right style="thin">
        <color indexed="64"/>
      </right>
      <top style="thin">
        <color indexed="64"/>
      </top>
      <bottom/>
      <diagonal/>
    </border>
    <border>
      <left style="medium">
        <color indexed="9"/>
      </left>
      <right style="medium">
        <color indexed="9"/>
      </right>
      <top style="medium">
        <color indexed="9"/>
      </top>
      <bottom style="medium">
        <color indexed="9"/>
      </bottom>
      <diagonal/>
    </border>
    <border>
      <left style="medium">
        <color indexed="9"/>
      </left>
      <right style="thin">
        <color indexed="64"/>
      </right>
      <top style="medium">
        <color indexed="9"/>
      </top>
      <bottom style="medium">
        <color indexed="9"/>
      </bottom>
      <diagonal/>
    </border>
    <border>
      <left style="thin">
        <color indexed="64"/>
      </left>
      <right style="medium">
        <color indexed="9"/>
      </right>
      <top style="medium">
        <color indexed="9"/>
      </top>
      <bottom/>
      <diagonal/>
    </border>
    <border>
      <left style="thin">
        <color indexed="64"/>
      </left>
      <right style="medium">
        <color indexed="9"/>
      </right>
      <top/>
      <bottom style="medium">
        <color indexed="9"/>
      </bottom>
      <diagonal/>
    </border>
    <border>
      <left style="medium">
        <color indexed="9"/>
      </left>
      <right style="medium">
        <color indexed="9"/>
      </right>
      <top/>
      <bottom/>
      <diagonal/>
    </border>
    <border>
      <left/>
      <right style="medium">
        <color indexed="9"/>
      </right>
      <top style="medium">
        <color indexed="9"/>
      </top>
      <bottom style="medium">
        <color indexed="9"/>
      </bottom>
      <diagonal/>
    </border>
    <border>
      <left/>
      <right/>
      <top/>
      <bottom style="medium">
        <color indexed="9"/>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thick">
        <color indexed="10"/>
      </bottom>
      <diagonal/>
    </border>
    <border>
      <left/>
      <right/>
      <top/>
      <bottom style="medium">
        <color indexed="10"/>
      </bottom>
      <diagonal/>
    </border>
    <border>
      <left/>
      <right/>
      <top/>
      <bottom style="double">
        <color indexed="52"/>
      </bottom>
      <diagonal/>
    </border>
    <border>
      <left/>
      <right/>
      <top style="thin">
        <color indexed="49"/>
      </top>
      <bottom style="double">
        <color indexed="49"/>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bottom style="thin">
        <color theme="0"/>
      </bottom>
      <diagonal/>
    </border>
    <border>
      <left/>
      <right/>
      <top style="thin">
        <color indexed="64"/>
      </top>
      <bottom style="medium">
        <color theme="0"/>
      </bottom>
      <diagonal/>
    </border>
    <border>
      <left/>
      <right/>
      <top style="dotted">
        <color rgb="FF00B0F0"/>
      </top>
      <bottom style="dotted">
        <color rgb="FF00B0F0"/>
      </bottom>
      <diagonal/>
    </border>
    <border>
      <left/>
      <right/>
      <top/>
      <bottom style="dotted">
        <color rgb="FF00B0F0"/>
      </bottom>
      <diagonal/>
    </border>
    <border>
      <left style="thin">
        <color indexed="64"/>
      </left>
      <right/>
      <top/>
      <bottom style="thin">
        <color theme="0"/>
      </bottom>
      <diagonal/>
    </border>
    <border>
      <left style="thin">
        <color indexed="64"/>
      </left>
      <right style="thin">
        <color indexed="64"/>
      </right>
      <top style="thin">
        <color theme="0"/>
      </top>
      <bottom/>
      <diagonal/>
    </border>
    <border>
      <left style="thin">
        <color theme="0"/>
      </left>
      <right style="thin">
        <color indexed="64"/>
      </right>
      <top style="medium">
        <color indexed="9"/>
      </top>
      <bottom/>
      <diagonal/>
    </border>
    <border>
      <left style="thin">
        <color theme="0"/>
      </left>
      <right style="thin">
        <color indexed="64"/>
      </right>
      <top/>
      <bottom/>
      <diagonal/>
    </border>
    <border>
      <left/>
      <right/>
      <top style="thin">
        <color rgb="FF00B0F0"/>
      </top>
      <bottom style="thin">
        <color rgb="FF00B0F0"/>
      </bottom>
      <diagonal/>
    </border>
    <border>
      <left/>
      <right/>
      <top style="dotted">
        <color rgb="FF00B0F0"/>
      </top>
      <bottom style="thin">
        <color rgb="FF00B0F0"/>
      </bottom>
      <diagonal/>
    </border>
    <border>
      <left style="thick">
        <color indexed="9"/>
      </left>
      <right style="thick">
        <color indexed="9"/>
      </right>
      <top/>
      <bottom/>
      <diagonal/>
    </border>
    <border>
      <left/>
      <right/>
      <top/>
      <bottom style="medium">
        <color theme="0"/>
      </bottom>
      <diagonal/>
    </border>
    <border>
      <left style="thick">
        <color indexed="9"/>
      </left>
      <right style="thick">
        <color indexed="9"/>
      </right>
      <top style="thick">
        <color indexed="9"/>
      </top>
      <bottom/>
      <diagonal/>
    </border>
    <border>
      <left style="thick">
        <color indexed="9"/>
      </left>
      <right style="thin">
        <color indexed="64"/>
      </right>
      <top style="thick">
        <color indexed="9"/>
      </top>
      <bottom/>
      <diagonal/>
    </border>
    <border>
      <left style="thick">
        <color indexed="9"/>
      </left>
      <right style="thin">
        <color indexed="64"/>
      </right>
      <top/>
      <bottom/>
      <diagonal/>
    </border>
    <border>
      <left style="thin">
        <color theme="0"/>
      </left>
      <right style="thin">
        <color indexed="64"/>
      </right>
      <top/>
      <bottom style="thin">
        <color indexed="64"/>
      </bottom>
      <diagonal/>
    </border>
  </borders>
  <cellStyleXfs count="1989">
    <xf numFmtId="0" fontId="0" fillId="0" borderId="0"/>
    <xf numFmtId="0" fontId="49" fillId="0" borderId="0"/>
    <xf numFmtId="0" fontId="27" fillId="0" borderId="0"/>
    <xf numFmtId="0" fontId="27" fillId="0" borderId="0"/>
    <xf numFmtId="0" fontId="27" fillId="0" borderId="0"/>
    <xf numFmtId="0" fontId="35" fillId="0" borderId="0" applyNumberFormat="0" applyFill="0" applyBorder="0" applyAlignment="0"/>
    <xf numFmtId="0" fontId="28" fillId="3" borderId="0"/>
    <xf numFmtId="164" fontId="5" fillId="0" borderId="0" applyFont="0" applyFill="0" applyBorder="0" applyAlignment="0" applyProtection="0"/>
    <xf numFmtId="0" fontId="36" fillId="0" borderId="0"/>
    <xf numFmtId="0" fontId="27" fillId="0" borderId="0"/>
    <xf numFmtId="0" fontId="36" fillId="0" borderId="0"/>
    <xf numFmtId="0" fontId="27" fillId="0" borderId="0"/>
    <xf numFmtId="0" fontId="37" fillId="0" borderId="0">
      <protection locked="0"/>
    </xf>
    <xf numFmtId="0" fontId="38" fillId="0" borderId="0">
      <protection locked="0"/>
    </xf>
    <xf numFmtId="0" fontId="38" fillId="0" borderId="0">
      <protection locked="0"/>
    </xf>
    <xf numFmtId="3" fontId="29" fillId="4" borderId="0"/>
    <xf numFmtId="9" fontId="30" fillId="5" borderId="0" applyNumberFormat="0" applyFont="0" applyBorder="0" applyAlignment="0">
      <protection locked="0"/>
    </xf>
    <xf numFmtId="0" fontId="39" fillId="6" borderId="1" applyNumberFormat="0" applyProtection="0">
      <alignment vertical="center"/>
    </xf>
    <xf numFmtId="0" fontId="33" fillId="6" borderId="2" applyNumberFormat="0" applyProtection="0"/>
    <xf numFmtId="0" fontId="39" fillId="6" borderId="3" applyNumberFormat="0" applyProtection="0">
      <alignment vertical="center"/>
    </xf>
    <xf numFmtId="0" fontId="39" fillId="6" borderId="4" applyNumberFormat="0" applyProtection="0">
      <alignment vertical="center"/>
    </xf>
    <xf numFmtId="0" fontId="39" fillId="6" borderId="0" applyNumberFormat="0" applyProtection="0">
      <alignment vertical="center"/>
    </xf>
    <xf numFmtId="0" fontId="8" fillId="0" borderId="5" applyNumberFormat="0" applyProtection="0"/>
    <xf numFmtId="0" fontId="23" fillId="0" borderId="6" applyNumberFormat="0" applyProtection="0">
      <alignment horizontal="left" textRotation="90" wrapText="1"/>
    </xf>
    <xf numFmtId="0" fontId="34" fillId="6" borderId="0" applyNumberForma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28" fillId="3" borderId="0">
      <alignment horizontal="right"/>
    </xf>
    <xf numFmtId="164" fontId="28" fillId="3" borderId="0">
      <alignment horizontal="right"/>
    </xf>
    <xf numFmtId="0" fontId="28" fillId="3" borderId="0">
      <alignment horizontal="right"/>
    </xf>
    <xf numFmtId="164" fontId="28" fillId="3" borderId="0">
      <alignment horizontal="right"/>
    </xf>
    <xf numFmtId="0" fontId="28" fillId="3" borderId="0">
      <alignment horizontal="right"/>
    </xf>
    <xf numFmtId="0" fontId="28" fillId="3" borderId="0">
      <alignment horizontal="right"/>
    </xf>
    <xf numFmtId="0" fontId="28" fillId="3" borderId="0">
      <alignment horizontal="right"/>
    </xf>
    <xf numFmtId="164" fontId="28" fillId="3" borderId="0">
      <alignment horizontal="right"/>
    </xf>
    <xf numFmtId="0" fontId="28" fillId="3" borderId="0">
      <alignment horizontal="right"/>
    </xf>
    <xf numFmtId="164" fontId="28" fillId="3" borderId="0">
      <alignment horizontal="right"/>
    </xf>
    <xf numFmtId="164" fontId="28" fillId="3" borderId="0">
      <alignment horizontal="right"/>
    </xf>
    <xf numFmtId="164" fontId="28" fillId="3" borderId="0">
      <alignment horizontal="right"/>
    </xf>
    <xf numFmtId="164" fontId="28" fillId="3" borderId="0">
      <alignment horizontal="right"/>
    </xf>
    <xf numFmtId="0" fontId="43" fillId="0" borderId="0"/>
    <xf numFmtId="0" fontId="9" fillId="0" borderId="0"/>
    <xf numFmtId="0" fontId="17" fillId="0" borderId="0"/>
    <xf numFmtId="0" fontId="44" fillId="0" borderId="0"/>
    <xf numFmtId="0" fontId="18" fillId="0" borderId="0"/>
    <xf numFmtId="0" fontId="5" fillId="0" borderId="0"/>
    <xf numFmtId="0" fontId="25" fillId="0" borderId="0" applyNumberFormat="0" applyAlignment="0" applyProtection="0"/>
    <xf numFmtId="0" fontId="25" fillId="0" borderId="0" applyNumberFormat="0" applyAlignment="0" applyProtection="0"/>
    <xf numFmtId="0" fontId="25" fillId="0" borderId="0" applyNumberFormat="0" applyAlignment="0" applyProtection="0"/>
    <xf numFmtId="0" fontId="25" fillId="0" borderId="0" applyNumberFormat="0" applyAlignment="0" applyProtection="0"/>
    <xf numFmtId="172" fontId="31" fillId="0" borderId="0">
      <alignment horizontal="centerContinuous"/>
    </xf>
    <xf numFmtId="9" fontId="5" fillId="0" borderId="0" applyFont="0" applyFill="0" applyBorder="0" applyAlignment="0" applyProtection="0"/>
    <xf numFmtId="9" fontId="5" fillId="0" borderId="0"/>
    <xf numFmtId="164" fontId="5" fillId="0" borderId="0" applyFont="0" applyFill="0" applyBorder="0" applyAlignment="0" applyProtection="0"/>
    <xf numFmtId="164" fontId="5" fillId="0" borderId="0" applyFont="0" applyFill="0" applyBorder="0" applyAlignment="0" applyProtection="0"/>
    <xf numFmtId="1" fontId="32" fillId="7" borderId="0"/>
    <xf numFmtId="0" fontId="5" fillId="0"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25" fillId="0" borderId="0" applyNumberFormat="0" applyAlignment="0" applyProtection="0"/>
    <xf numFmtId="164" fontId="5" fillId="0" borderId="0" applyFont="0" applyFill="0" applyBorder="0" applyAlignment="0" applyProtection="0"/>
    <xf numFmtId="0" fontId="5" fillId="0" borderId="0"/>
    <xf numFmtId="0" fontId="5" fillId="0" borderId="0"/>
    <xf numFmtId="0" fontId="55" fillId="0" borderId="0" applyNumberFormat="0" applyFill="0" applyBorder="0" applyAlignment="0" applyProtection="0"/>
    <xf numFmtId="0" fontId="56" fillId="0" borderId="0" applyNumberFormat="0" applyFill="0" applyBorder="0" applyAlignment="0" applyProtection="0"/>
    <xf numFmtId="0" fontId="66" fillId="0" borderId="0" applyNumberFormat="0" applyFill="0" applyBorder="0" applyAlignment="0" applyProtection="0"/>
    <xf numFmtId="0" fontId="74" fillId="53" borderId="0" applyNumberFormat="0" applyBorder="0" applyAlignment="0" applyProtection="0"/>
    <xf numFmtId="0" fontId="4" fillId="30"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2" borderId="0" applyNumberFormat="0" applyBorder="0" applyAlignment="0" applyProtection="0"/>
    <xf numFmtId="0" fontId="4" fillId="34"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55" borderId="0" applyNumberFormat="0" applyBorder="0" applyAlignment="0" applyProtection="0"/>
    <xf numFmtId="0" fontId="4" fillId="38"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6" borderId="0" applyNumberFormat="0" applyBorder="0" applyAlignment="0" applyProtection="0"/>
    <xf numFmtId="0" fontId="4" fillId="42"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3" borderId="0" applyNumberFormat="0" applyBorder="0" applyAlignment="0" applyProtection="0"/>
    <xf numFmtId="0" fontId="4" fillId="46"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2" borderId="0" applyNumberFormat="0" applyBorder="0" applyAlignment="0" applyProtection="0"/>
    <xf numFmtId="0" fontId="4" fillId="50"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53" borderId="0" applyNumberFormat="0" applyBorder="0" applyAlignment="0" applyProtection="0"/>
    <xf numFmtId="0" fontId="4" fillId="31"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35" borderId="0" applyNumberFormat="0" applyBorder="0" applyAlignment="0" applyProtection="0"/>
    <xf numFmtId="0" fontId="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55" borderId="0" applyNumberFormat="0" applyBorder="0" applyAlignment="0" applyProtection="0"/>
    <xf numFmtId="0" fontId="4" fillId="39"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6" borderId="0" applyNumberFormat="0" applyBorder="0" applyAlignment="0" applyProtection="0"/>
    <xf numFmtId="0" fontId="4" fillId="43"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3" borderId="0" applyNumberFormat="0" applyBorder="0" applyAlignment="0" applyProtection="0"/>
    <xf numFmtId="0" fontId="4" fillId="47"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2" borderId="0" applyNumberFormat="0" applyBorder="0" applyAlignment="0" applyProtection="0"/>
    <xf numFmtId="0" fontId="4" fillId="51"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75" fillId="53" borderId="0" applyNumberFormat="0" applyBorder="0" applyAlignment="0" applyProtection="0"/>
    <xf numFmtId="0" fontId="68" fillId="32" borderId="0" applyNumberFormat="0" applyBorder="0" applyAlignment="0" applyProtection="0"/>
    <xf numFmtId="0" fontId="75" fillId="54" borderId="0" applyNumberFormat="0" applyBorder="0" applyAlignment="0" applyProtection="0"/>
    <xf numFmtId="0" fontId="68" fillId="36" borderId="0" applyNumberFormat="0" applyBorder="0" applyAlignment="0" applyProtection="0"/>
    <xf numFmtId="0" fontId="75" fillId="55" borderId="0" applyNumberFormat="0" applyBorder="0" applyAlignment="0" applyProtection="0"/>
    <xf numFmtId="0" fontId="68" fillId="40" borderId="0" applyNumberFormat="0" applyBorder="0" applyAlignment="0" applyProtection="0"/>
    <xf numFmtId="0" fontId="75" fillId="56" borderId="0" applyNumberFormat="0" applyBorder="0" applyAlignment="0" applyProtection="0"/>
    <xf numFmtId="0" fontId="68" fillId="44" borderId="0" applyNumberFormat="0" applyBorder="0" applyAlignment="0" applyProtection="0"/>
    <xf numFmtId="0" fontId="75" fillId="53" borderId="0" applyNumberFormat="0" applyBorder="0" applyAlignment="0" applyProtection="0"/>
    <xf numFmtId="0" fontId="68" fillId="48" borderId="0" applyNumberFormat="0" applyBorder="0" applyAlignment="0" applyProtection="0"/>
    <xf numFmtId="0" fontId="75" fillId="2" borderId="0" applyNumberFormat="0" applyBorder="0" applyAlignment="0" applyProtection="0"/>
    <xf numFmtId="0" fontId="68" fillId="52" borderId="0" applyNumberFormat="0" applyBorder="0" applyAlignment="0" applyProtection="0"/>
    <xf numFmtId="0" fontId="75" fillId="57" borderId="0" applyNumberFormat="0" applyBorder="0" applyAlignment="0" applyProtection="0"/>
    <xf numFmtId="0" fontId="68" fillId="29" borderId="0" applyNumberFormat="0" applyBorder="0" applyAlignment="0" applyProtection="0"/>
    <xf numFmtId="0" fontId="75" fillId="33" borderId="0" applyNumberFormat="0" applyBorder="0" applyAlignment="0" applyProtection="0"/>
    <xf numFmtId="0" fontId="68" fillId="33" borderId="0" applyNumberFormat="0" applyBorder="0" applyAlignment="0" applyProtection="0"/>
    <xf numFmtId="0" fontId="75" fillId="59" borderId="0" applyNumberFormat="0" applyBorder="0" applyAlignment="0" applyProtection="0"/>
    <xf numFmtId="0" fontId="68" fillId="37" borderId="0" applyNumberFormat="0" applyBorder="0" applyAlignment="0" applyProtection="0"/>
    <xf numFmtId="0" fontId="75" fillId="41" borderId="0" applyNumberFormat="0" applyBorder="0" applyAlignment="0" applyProtection="0"/>
    <xf numFmtId="0" fontId="68" fillId="41" borderId="0" applyNumberFormat="0" applyBorder="0" applyAlignment="0" applyProtection="0"/>
    <xf numFmtId="0" fontId="75" fillId="45" borderId="0" applyNumberFormat="0" applyBorder="0" applyAlignment="0" applyProtection="0"/>
    <xf numFmtId="0" fontId="68" fillId="45" borderId="0" applyNumberFormat="0" applyBorder="0" applyAlignment="0" applyProtection="0"/>
    <xf numFmtId="0" fontId="75" fillId="58" borderId="0" applyNumberFormat="0" applyBorder="0" applyAlignment="0" applyProtection="0"/>
    <xf numFmtId="0" fontId="68" fillId="49" borderId="0" applyNumberFormat="0" applyBorder="0" applyAlignment="0" applyProtection="0"/>
    <xf numFmtId="0" fontId="58" fillId="60" borderId="0" applyNumberFormat="0" applyBorder="0" applyAlignment="0" applyProtection="0"/>
    <xf numFmtId="0" fontId="58" fillId="23" borderId="0" applyNumberFormat="0" applyBorder="0" applyAlignment="0" applyProtection="0"/>
    <xf numFmtId="0" fontId="76" fillId="56" borderId="49" applyNumberFormat="0" applyAlignment="0" applyProtection="0"/>
    <xf numFmtId="0" fontId="62" fillId="26" borderId="49" applyNumberFormat="0" applyAlignment="0" applyProtection="0"/>
    <xf numFmtId="0" fontId="77" fillId="27" borderId="52" applyNumberFormat="0" applyAlignment="0" applyProtection="0"/>
    <xf numFmtId="0" fontId="64" fillId="27" borderId="52" applyNumberFormat="0" applyAlignment="0" applyProtection="0"/>
    <xf numFmtId="164" fontId="5"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78" fontId="72" fillId="0" borderId="0" applyFont="0" applyFill="0" applyBorder="0" applyAlignment="0" applyProtection="0">
      <alignment horizontal="center"/>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9" fontId="71" fillId="5" borderId="0" applyNumberFormat="0" applyFont="0" applyBorder="0" applyAlignment="0">
      <protection locked="0"/>
    </xf>
    <xf numFmtId="0" fontId="57" fillId="55" borderId="0" applyNumberFormat="0" applyBorder="0" applyAlignment="0" applyProtection="0"/>
    <xf numFmtId="0" fontId="57" fillId="22" borderId="0" applyNumberFormat="0" applyBorder="0" applyAlignment="0" applyProtection="0"/>
    <xf numFmtId="0" fontId="16" fillId="6" borderId="2" applyNumberFormat="0" applyProtection="0"/>
    <xf numFmtId="0" fontId="18" fillId="0" borderId="6" applyNumberFormat="0" applyProtection="0">
      <alignment horizontal="left" textRotation="90" wrapText="1"/>
    </xf>
    <xf numFmtId="0" fontId="19" fillId="6" borderId="0" applyNumberFormat="0" applyProtection="0"/>
    <xf numFmtId="0" fontId="19" fillId="6" borderId="0" applyNumberFormat="0" applyProtection="0"/>
    <xf numFmtId="0" fontId="40" fillId="0" borderId="0" applyNumberFormat="0" applyFill="0" applyBorder="0" applyAlignment="0" applyProtection="0"/>
    <xf numFmtId="0" fontId="78" fillId="0" borderId="55" applyNumberFormat="0" applyFill="0" applyAlignment="0" applyProtection="0"/>
    <xf numFmtId="0" fontId="78" fillId="0" borderId="60" applyNumberFormat="0" applyFill="0" applyAlignment="0" applyProtection="0"/>
    <xf numFmtId="0" fontId="41" fillId="0" borderId="0" applyNumberFormat="0" applyFill="0" applyBorder="0" applyAlignment="0" applyProtection="0"/>
    <xf numFmtId="0" fontId="79" fillId="0" borderId="56" applyNumberFormat="0" applyFill="0" applyAlignment="0" applyProtection="0"/>
    <xf numFmtId="0" fontId="79" fillId="0" borderId="61" applyNumberFormat="0" applyFill="0" applyAlignment="0" applyProtection="0"/>
    <xf numFmtId="0" fontId="56" fillId="0" borderId="57" applyNumberFormat="0" applyFill="0" applyAlignment="0" applyProtection="0"/>
    <xf numFmtId="0" fontId="56" fillId="0" borderId="48" applyNumberFormat="0" applyFill="0" applyAlignment="0" applyProtection="0"/>
    <xf numFmtId="0" fontId="60" fillId="2" borderId="49" applyNumberFormat="0" applyAlignment="0" applyProtection="0"/>
    <xf numFmtId="0" fontId="60" fillId="25" borderId="49" applyNumberFormat="0" applyAlignment="0" applyProtection="0"/>
    <xf numFmtId="0" fontId="73" fillId="6" borderId="0">
      <alignment horizontal="right"/>
    </xf>
    <xf numFmtId="0" fontId="80" fillId="0" borderId="58" applyNumberFormat="0" applyFill="0" applyAlignment="0" applyProtection="0"/>
    <xf numFmtId="0" fontId="63" fillId="0" borderId="51" applyNumberFormat="0" applyFill="0" applyAlignment="0" applyProtection="0"/>
    <xf numFmtId="164" fontId="28" fillId="3" borderId="0">
      <alignment horizontal="right"/>
    </xf>
    <xf numFmtId="164" fontId="28" fillId="3" borderId="0">
      <alignment horizontal="right"/>
    </xf>
    <xf numFmtId="164" fontId="28" fillId="3" borderId="0">
      <alignment horizontal="right"/>
    </xf>
    <xf numFmtId="164" fontId="28" fillId="3" borderId="0">
      <alignment horizontal="right"/>
    </xf>
    <xf numFmtId="164" fontId="28" fillId="3" borderId="0">
      <alignment horizontal="right"/>
    </xf>
    <xf numFmtId="164" fontId="28" fillId="3" borderId="0">
      <alignment horizontal="right"/>
    </xf>
    <xf numFmtId="164" fontId="28" fillId="3" borderId="0">
      <alignment horizontal="right"/>
    </xf>
    <xf numFmtId="164" fontId="28" fillId="3" borderId="0">
      <alignment horizontal="right"/>
    </xf>
    <xf numFmtId="0" fontId="7" fillId="0" borderId="0"/>
    <xf numFmtId="0" fontId="7" fillId="0" borderId="0"/>
    <xf numFmtId="0" fontId="18" fillId="0" borderId="0"/>
    <xf numFmtId="0" fontId="81" fillId="24" borderId="0" applyNumberFormat="0" applyBorder="0" applyAlignment="0" applyProtection="0"/>
    <xf numFmtId="0" fontId="59" fillId="24" borderId="0" applyNumberFormat="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2" fillId="0" borderId="0" applyNumberFormat="0" applyBorder="0">
      <alignment horizontal="center"/>
    </xf>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5" fillId="0" borderId="0"/>
    <xf numFmtId="0" fontId="74" fillId="0" borderId="0"/>
    <xf numFmtId="0" fontId="74" fillId="0" borderId="0"/>
    <xf numFmtId="0" fontId="74" fillId="0" borderId="0"/>
    <xf numFmtId="0" fontId="74" fillId="0" borderId="0"/>
    <xf numFmtId="0" fontId="72" fillId="0" borderId="0" applyNumberFormat="0" applyBorder="0">
      <alignment horizontal="center"/>
    </xf>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 fillId="28" borderId="53"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1" fillId="56" borderId="50" applyNumberFormat="0" applyAlignment="0" applyProtection="0"/>
    <xf numFmtId="0" fontId="61" fillId="26" borderId="5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70" fillId="0" borderId="0" applyNumberFormat="0" applyAlignment="0" applyProtection="0"/>
    <xf numFmtId="0" fontId="47" fillId="0" borderId="0">
      <alignment vertical="top"/>
    </xf>
    <xf numFmtId="0" fontId="9" fillId="6" borderId="0"/>
    <xf numFmtId="0" fontId="82" fillId="0" borderId="59" applyNumberFormat="0" applyFill="0" applyAlignment="0" applyProtection="0"/>
    <xf numFmtId="0" fontId="67" fillId="0" borderId="54" applyNumberFormat="0" applyFill="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0" fontId="83" fillId="0" borderId="0" applyNumberFormat="0" applyFill="0" applyBorder="0" applyAlignment="0" applyProtection="0"/>
    <xf numFmtId="0" fontId="65" fillId="0" borderId="0" applyNumberFormat="0" applyFill="0" applyBorder="0" applyAlignment="0" applyProtection="0"/>
    <xf numFmtId="0" fontId="4" fillId="0" borderId="0"/>
    <xf numFmtId="0" fontId="4" fillId="28" borderId="53" applyNumberFormat="0" applyFont="0" applyAlignment="0" applyProtection="0"/>
    <xf numFmtId="0" fontId="4" fillId="30" borderId="0" applyNumberFormat="0" applyBorder="0" applyAlignment="0" applyProtection="0"/>
    <xf numFmtId="0" fontId="4" fillId="31"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28" borderId="53" applyNumberFormat="0" applyFont="0" applyAlignment="0" applyProtection="0"/>
    <xf numFmtId="0" fontId="4" fillId="30" borderId="0" applyNumberFormat="0" applyBorder="0" applyAlignment="0" applyProtection="0"/>
    <xf numFmtId="0" fontId="4" fillId="31"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42" borderId="0" applyNumberFormat="0" applyBorder="0" applyAlignment="0" applyProtection="0"/>
    <xf numFmtId="0" fontId="4" fillId="46" borderId="0" applyNumberFormat="0" applyBorder="0" applyAlignment="0" applyProtection="0"/>
    <xf numFmtId="0" fontId="4" fillId="50"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43" borderId="0" applyNumberFormat="0" applyBorder="0" applyAlignment="0" applyProtection="0"/>
    <xf numFmtId="0" fontId="4" fillId="47" borderId="0" applyNumberFormat="0" applyBorder="0" applyAlignment="0" applyProtection="0"/>
    <xf numFmtId="0" fontId="4" fillId="51" borderId="0" applyNumberFormat="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78" fontId="72" fillId="0" borderId="0" applyFont="0" applyFill="0" applyBorder="0" applyAlignment="0" applyProtection="0">
      <alignment horizontal="center"/>
    </xf>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0" fontId="72" fillId="0" borderId="0" applyNumberFormat="0" applyBorder="0">
      <alignment horizontal="center"/>
    </xf>
    <xf numFmtId="0" fontId="4" fillId="30" borderId="0" applyNumberFormat="0" applyBorder="0" applyAlignment="0" applyProtection="0"/>
    <xf numFmtId="0" fontId="4" fillId="38" borderId="0" applyNumberFormat="0" applyBorder="0" applyAlignment="0" applyProtection="0"/>
    <xf numFmtId="0" fontId="4" fillId="28" borderId="53"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0" fontId="4" fillId="0" borderId="0"/>
    <xf numFmtId="0" fontId="4" fillId="28" borderId="53" applyNumberFormat="0" applyFont="0" applyAlignment="0" applyProtection="0"/>
    <xf numFmtId="0" fontId="4" fillId="30" borderId="0" applyNumberFormat="0" applyBorder="0" applyAlignment="0" applyProtection="0"/>
    <xf numFmtId="0" fontId="4" fillId="31"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28" borderId="53" applyNumberFormat="0" applyFont="0" applyAlignment="0" applyProtection="0"/>
    <xf numFmtId="0" fontId="4" fillId="30" borderId="0" applyNumberFormat="0" applyBorder="0" applyAlignment="0" applyProtection="0"/>
    <xf numFmtId="0" fontId="4" fillId="31"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28" borderId="53" applyNumberFormat="0" applyFont="0" applyAlignment="0" applyProtection="0"/>
    <xf numFmtId="0" fontId="4" fillId="30" borderId="0" applyNumberFormat="0" applyBorder="0" applyAlignment="0" applyProtection="0"/>
    <xf numFmtId="0" fontId="4" fillId="31"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28" borderId="53" applyNumberFormat="0" applyFont="0" applyAlignment="0" applyProtection="0"/>
    <xf numFmtId="0" fontId="4" fillId="30" borderId="0" applyNumberFormat="0" applyBorder="0" applyAlignment="0" applyProtection="0"/>
    <xf numFmtId="0" fontId="4" fillId="31"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34" borderId="0" applyNumberFormat="0" applyBorder="0" applyAlignment="0" applyProtection="0"/>
    <xf numFmtId="0" fontId="4" fillId="42" borderId="0" applyNumberFormat="0" applyBorder="0" applyAlignment="0" applyProtection="0"/>
    <xf numFmtId="0" fontId="4" fillId="46" borderId="0" applyNumberFormat="0" applyBorder="0" applyAlignment="0" applyProtection="0"/>
    <xf numFmtId="0" fontId="4" fillId="50"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43" borderId="0" applyNumberFormat="0" applyBorder="0" applyAlignment="0" applyProtection="0"/>
    <xf numFmtId="0" fontId="4" fillId="47" borderId="0" applyNumberFormat="0" applyBorder="0" applyAlignment="0" applyProtection="0"/>
    <xf numFmtId="0" fontId="4" fillId="51" borderId="0" applyNumberFormat="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78" fontId="72" fillId="0" borderId="0" applyFont="0" applyFill="0" applyBorder="0" applyAlignment="0" applyProtection="0">
      <alignment horizontal="center"/>
    </xf>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0" fontId="72" fillId="0" borderId="0" applyNumberFormat="0" applyBorder="0">
      <alignment horizontal="center"/>
    </xf>
    <xf numFmtId="0" fontId="4" fillId="28" borderId="53"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0" fontId="69" fillId="28" borderId="7" applyNumberFormat="0" applyFont="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0" fontId="4" fillId="0" borderId="0"/>
    <xf numFmtId="0" fontId="4" fillId="28" borderId="53" applyNumberFormat="0" applyFont="0" applyAlignment="0" applyProtection="0"/>
    <xf numFmtId="0" fontId="4" fillId="30" borderId="0" applyNumberFormat="0" applyBorder="0" applyAlignment="0" applyProtection="0"/>
    <xf numFmtId="0" fontId="4" fillId="31"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28" borderId="53" applyNumberFormat="0" applyFont="0" applyAlignment="0" applyProtection="0"/>
    <xf numFmtId="0" fontId="4" fillId="30" borderId="0" applyNumberFormat="0" applyBorder="0" applyAlignment="0" applyProtection="0"/>
    <xf numFmtId="0" fontId="4" fillId="31"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28" borderId="53" applyNumberFormat="0" applyFont="0" applyAlignment="0" applyProtection="0"/>
    <xf numFmtId="0" fontId="4" fillId="30" borderId="0" applyNumberFormat="0" applyBorder="0" applyAlignment="0" applyProtection="0"/>
    <xf numFmtId="0" fontId="4" fillId="31"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5" fillId="0" borderId="0"/>
    <xf numFmtId="178" fontId="5" fillId="0" borderId="0" applyFont="0" applyFill="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8"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4"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8"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4"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178" fontId="5" fillId="0" borderId="0" applyFont="0" applyFill="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5" fillId="0" borderId="0"/>
    <xf numFmtId="178" fontId="5" fillId="0" borderId="0" applyFont="0" applyFill="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5" fillId="0" borderId="0"/>
    <xf numFmtId="178" fontId="5" fillId="0" borderId="0" applyFont="0" applyFill="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8"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4"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8"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4"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5"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164" fontId="5" fillId="0" borderId="0" applyFont="0" applyFill="0" applyBorder="0" applyAlignment="0" applyProtection="0"/>
    <xf numFmtId="0" fontId="5"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3" fillId="0" borderId="0"/>
    <xf numFmtId="0" fontId="3" fillId="28" borderId="53" applyNumberFormat="0" applyFont="0" applyAlignment="0" applyProtection="0"/>
    <xf numFmtId="0" fontId="3" fillId="30" borderId="0" applyNumberFormat="0" applyBorder="0" applyAlignment="0" applyProtection="0"/>
    <xf numFmtId="0" fontId="3" fillId="31"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50" borderId="0" applyNumberFormat="0" applyBorder="0" applyAlignment="0" applyProtection="0"/>
    <xf numFmtId="0" fontId="3" fillId="51"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2" fillId="43"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2" fillId="28" borderId="53" applyNumberFormat="0" applyFont="0" applyAlignment="0" applyProtection="0"/>
    <xf numFmtId="0" fontId="2" fillId="0" borderId="0"/>
    <xf numFmtId="0" fontId="2" fillId="28" borderId="53" applyNumberFormat="0" applyFont="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28" borderId="53" applyNumberFormat="0" applyFont="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2" fillId="43"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2" fillId="30" borderId="0" applyNumberFormat="0" applyBorder="0" applyAlignment="0" applyProtection="0"/>
    <xf numFmtId="0" fontId="2" fillId="38" borderId="0" applyNumberFormat="0" applyBorder="0" applyAlignment="0" applyProtection="0"/>
    <xf numFmtId="0" fontId="2" fillId="28" borderId="53" applyNumberFormat="0" applyFont="0" applyAlignment="0" applyProtection="0"/>
    <xf numFmtId="0" fontId="2" fillId="0" borderId="0"/>
    <xf numFmtId="0" fontId="2" fillId="28" borderId="53" applyNumberFormat="0" applyFont="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28" borderId="53" applyNumberFormat="0" applyFont="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28" borderId="53" applyNumberFormat="0" applyFont="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28" borderId="53" applyNumberFormat="0" applyFont="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34"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2" fillId="43"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2" fillId="28" borderId="53" applyNumberFormat="0" applyFont="0" applyAlignment="0" applyProtection="0"/>
    <xf numFmtId="0" fontId="2" fillId="0" borderId="0"/>
    <xf numFmtId="0" fontId="2" fillId="28" borderId="53" applyNumberFormat="0" applyFont="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28" borderId="53" applyNumberFormat="0" applyFont="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28" borderId="53" applyNumberFormat="0" applyFont="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5" fillId="0" borderId="0"/>
    <xf numFmtId="9" fontId="1" fillId="0" borderId="0" applyFont="0" applyFill="0" applyBorder="0" applyAlignment="0" applyProtection="0"/>
  </cellStyleXfs>
  <cellXfs count="594">
    <xf numFmtId="0" fontId="0" fillId="0" borderId="0" xfId="0"/>
    <xf numFmtId="0" fontId="0" fillId="0" borderId="0" xfId="1" applyFont="1" applyFill="1"/>
    <xf numFmtId="0" fontId="6" fillId="0" borderId="0" xfId="1" applyFont="1" applyFill="1"/>
    <xf numFmtId="0" fontId="6" fillId="0" borderId="0" xfId="1" applyFont="1" applyFill="1" applyBorder="1"/>
    <xf numFmtId="0" fontId="0" fillId="0" borderId="0" xfId="1" applyFont="1" applyFill="1" applyBorder="1"/>
    <xf numFmtId="0" fontId="12" fillId="0" borderId="0" xfId="1" applyFont="1" applyFill="1" applyBorder="1"/>
    <xf numFmtId="0" fontId="12" fillId="0" borderId="0" xfId="1" applyFont="1"/>
    <xf numFmtId="0" fontId="0" fillId="0" borderId="0" xfId="1" applyFont="1" applyBorder="1"/>
    <xf numFmtId="0" fontId="0" fillId="0" borderId="0" xfId="1" applyFont="1" applyFill="1" applyAlignment="1">
      <alignment horizontal="right"/>
    </xf>
    <xf numFmtId="0" fontId="15" fillId="8" borderId="0" xfId="1" applyFont="1" applyFill="1" applyAlignment="1"/>
    <xf numFmtId="0" fontId="8" fillId="10" borderId="9" xfId="1" applyFont="1" applyFill="1" applyBorder="1" applyAlignment="1"/>
    <xf numFmtId="0" fontId="12" fillId="10" borderId="10" xfId="1" applyFont="1" applyFill="1" applyBorder="1" applyAlignment="1"/>
    <xf numFmtId="3" fontId="6" fillId="10" borderId="17" xfId="46" applyNumberFormat="1" applyFont="1" applyFill="1" applyBorder="1"/>
    <xf numFmtId="167" fontId="6" fillId="0" borderId="0" xfId="7" applyNumberFormat="1" applyFont="1" applyFill="1" applyBorder="1" applyProtection="1">
      <protection locked="0"/>
    </xf>
    <xf numFmtId="0" fontId="6" fillId="0" borderId="0" xfId="1" applyFont="1" applyFill="1" applyProtection="1">
      <protection locked="0"/>
    </xf>
    <xf numFmtId="167" fontId="6" fillId="0" borderId="0" xfId="7" applyNumberFormat="1" applyFont="1" applyFill="1" applyProtection="1">
      <protection locked="0"/>
    </xf>
    <xf numFmtId="0" fontId="6" fillId="0" borderId="0" xfId="1" applyFont="1" applyFill="1" applyBorder="1" applyProtection="1">
      <protection locked="0"/>
    </xf>
    <xf numFmtId="0" fontId="10" fillId="0" borderId="0" xfId="1" applyFont="1" applyFill="1" applyBorder="1" applyProtection="1">
      <protection locked="0"/>
    </xf>
    <xf numFmtId="0" fontId="6" fillId="0" borderId="0" xfId="1" applyFont="1" applyFill="1" applyProtection="1"/>
    <xf numFmtId="167" fontId="6" fillId="0" borderId="0" xfId="7" applyNumberFormat="1" applyFont="1" applyFill="1" applyProtection="1"/>
    <xf numFmtId="167" fontId="6" fillId="0" borderId="0" xfId="7" applyNumberFormat="1" applyFont="1" applyFill="1" applyBorder="1" applyProtection="1"/>
    <xf numFmtId="0" fontId="6" fillId="0" borderId="0" xfId="1" applyFont="1" applyFill="1" applyBorder="1" applyProtection="1"/>
    <xf numFmtId="0" fontId="6" fillId="0" borderId="0" xfId="1" applyFont="1" applyFill="1" applyAlignment="1" applyProtection="1">
      <alignment horizontal="left"/>
    </xf>
    <xf numFmtId="0" fontId="8" fillId="0" borderId="0" xfId="1" applyFont="1" applyFill="1" applyBorder="1" applyProtection="1"/>
    <xf numFmtId="0" fontId="6" fillId="0" borderId="0" xfId="1" applyFont="1" applyProtection="1">
      <protection locked="0"/>
    </xf>
    <xf numFmtId="0" fontId="6" fillId="0" borderId="0" xfId="1" applyFont="1" applyProtection="1"/>
    <xf numFmtId="167" fontId="6" fillId="0" borderId="0" xfId="7" applyNumberFormat="1" applyFont="1" applyBorder="1" applyProtection="1"/>
    <xf numFmtId="0" fontId="14" fillId="0" borderId="0" xfId="1" applyFont="1" applyProtection="1"/>
    <xf numFmtId="0" fontId="14" fillId="0" borderId="0" xfId="1" applyFont="1" applyFill="1" applyProtection="1"/>
    <xf numFmtId="0" fontId="6" fillId="0" borderId="0" xfId="1" applyFont="1" applyFill="1" applyBorder="1" applyAlignment="1" applyProtection="1">
      <alignment horizontal="centerContinuous"/>
      <protection locked="0"/>
    </xf>
    <xf numFmtId="0" fontId="22" fillId="0" borderId="0" xfId="1" applyFont="1"/>
    <xf numFmtId="0" fontId="26" fillId="0" borderId="0" xfId="1" applyFont="1" applyFill="1" applyBorder="1" applyAlignment="1">
      <alignment horizontal="left"/>
    </xf>
    <xf numFmtId="0" fontId="26" fillId="0" borderId="0" xfId="1" applyFont="1"/>
    <xf numFmtId="0" fontId="8" fillId="13" borderId="0" xfId="1" applyFont="1" applyFill="1" applyBorder="1" applyProtection="1">
      <protection locked="0"/>
    </xf>
    <xf numFmtId="0" fontId="6" fillId="13" borderId="25" xfId="1" applyFont="1" applyFill="1" applyBorder="1" applyProtection="1">
      <protection locked="0"/>
    </xf>
    <xf numFmtId="0" fontId="8" fillId="13" borderId="25" xfId="1" applyFont="1" applyFill="1" applyBorder="1" applyAlignment="1" applyProtection="1">
      <alignment horizontal="right"/>
    </xf>
    <xf numFmtId="0" fontId="8" fillId="13" borderId="26" xfId="1" applyFont="1" applyFill="1" applyBorder="1" applyProtection="1">
      <protection locked="0"/>
    </xf>
    <xf numFmtId="0" fontId="8" fillId="14" borderId="33" xfId="1" applyFont="1" applyFill="1" applyBorder="1" applyAlignment="1" applyProtection="1">
      <alignment horizontal="centerContinuous"/>
      <protection locked="0"/>
    </xf>
    <xf numFmtId="0" fontId="6" fillId="14" borderId="33" xfId="1" applyFont="1" applyFill="1" applyBorder="1" applyAlignment="1" applyProtection="1">
      <alignment horizontal="centerContinuous"/>
      <protection locked="0"/>
    </xf>
    <xf numFmtId="0" fontId="6" fillId="0" borderId="29" xfId="1" applyFont="1" applyFill="1" applyBorder="1" applyProtection="1">
      <protection locked="0"/>
    </xf>
    <xf numFmtId="167" fontId="6" fillId="0" borderId="29" xfId="7" applyNumberFormat="1" applyFont="1" applyFill="1" applyBorder="1" applyProtection="1"/>
    <xf numFmtId="167" fontId="6" fillId="0" borderId="29" xfId="7" applyNumberFormat="1" applyFont="1" applyFill="1" applyBorder="1" applyProtection="1">
      <protection locked="0"/>
    </xf>
    <xf numFmtId="0" fontId="8" fillId="0" borderId="34" xfId="1" applyFont="1" applyFill="1" applyBorder="1" applyProtection="1">
      <protection locked="0"/>
    </xf>
    <xf numFmtId="167" fontId="8" fillId="0" borderId="34" xfId="7" applyNumberFormat="1" applyFont="1" applyFill="1" applyBorder="1" applyProtection="1"/>
    <xf numFmtId="167" fontId="8" fillId="0" borderId="34" xfId="7" applyNumberFormat="1" applyFont="1" applyFill="1" applyBorder="1" applyProtection="1">
      <protection locked="0"/>
    </xf>
    <xf numFmtId="0" fontId="6" fillId="0" borderId="28" xfId="1" applyFont="1" applyFill="1" applyBorder="1" applyProtection="1">
      <protection locked="0"/>
    </xf>
    <xf numFmtId="167" fontId="6" fillId="0" borderId="28" xfId="7" applyNumberFormat="1" applyFont="1" applyFill="1" applyBorder="1" applyProtection="1"/>
    <xf numFmtId="167" fontId="6" fillId="0" borderId="28" xfId="7" applyNumberFormat="1" applyFont="1" applyFill="1" applyBorder="1" applyProtection="1">
      <protection locked="0"/>
    </xf>
    <xf numFmtId="0" fontId="6" fillId="0" borderId="30" xfId="1" applyFont="1" applyFill="1" applyBorder="1" applyProtection="1">
      <protection locked="0"/>
    </xf>
    <xf numFmtId="167" fontId="6" fillId="0" borderId="30" xfId="7" applyNumberFormat="1" applyFont="1" applyFill="1" applyBorder="1" applyProtection="1"/>
    <xf numFmtId="0" fontId="6" fillId="0" borderId="27" xfId="1" applyFont="1" applyFill="1" applyBorder="1" applyProtection="1">
      <protection locked="0"/>
    </xf>
    <xf numFmtId="167" fontId="6" fillId="0" borderId="27" xfId="7" applyNumberFormat="1" applyFont="1" applyFill="1" applyBorder="1" applyProtection="1"/>
    <xf numFmtId="167" fontId="6" fillId="0" borderId="27" xfId="7" applyNumberFormat="1" applyFont="1" applyFill="1" applyBorder="1" applyProtection="1">
      <protection locked="0"/>
    </xf>
    <xf numFmtId="0" fontId="6" fillId="0" borderId="28" xfId="1" applyFont="1" applyFill="1" applyBorder="1" applyAlignment="1" applyProtection="1">
      <protection locked="0"/>
    </xf>
    <xf numFmtId="170" fontId="6" fillId="0" borderId="30" xfId="1" applyNumberFormat="1" applyFont="1" applyFill="1" applyBorder="1" applyProtection="1"/>
    <xf numFmtId="167" fontId="6" fillId="0" borderId="35" xfId="7" applyNumberFormat="1" applyFont="1" applyFill="1" applyBorder="1" applyProtection="1"/>
    <xf numFmtId="0" fontId="8" fillId="0" borderId="0" xfId="1" applyFont="1" applyFill="1" applyBorder="1" applyAlignment="1" applyProtection="1">
      <alignment horizontal="center"/>
    </xf>
    <xf numFmtId="0" fontId="8" fillId="0" borderId="0" xfId="1" applyFont="1" applyFill="1" applyBorder="1" applyAlignment="1" applyProtection="1">
      <alignment horizontal="centerContinuous"/>
    </xf>
    <xf numFmtId="0" fontId="6" fillId="0" borderId="0" xfId="1" applyFont="1" applyFill="1" applyBorder="1" applyAlignment="1" applyProtection="1">
      <alignment horizontal="centerContinuous"/>
    </xf>
    <xf numFmtId="0" fontId="6" fillId="0" borderId="0" xfId="1" applyFont="1" applyFill="1" applyBorder="1" applyAlignment="1" applyProtection="1"/>
    <xf numFmtId="0" fontId="8" fillId="0" borderId="0" xfId="7" applyNumberFormat="1" applyFont="1" applyFill="1" applyBorder="1" applyAlignment="1" applyProtection="1">
      <alignment horizontal="center"/>
    </xf>
    <xf numFmtId="0" fontId="46" fillId="0" borderId="0" xfId="1" applyFont="1" applyProtection="1">
      <protection locked="0"/>
    </xf>
    <xf numFmtId="0" fontId="46" fillId="0" borderId="0" xfId="1" applyFont="1" applyFill="1" applyProtection="1">
      <protection locked="0"/>
    </xf>
    <xf numFmtId="0" fontId="46" fillId="0" borderId="0" xfId="1" applyFont="1" applyFill="1" applyBorder="1" applyProtection="1">
      <protection locked="0"/>
    </xf>
    <xf numFmtId="0" fontId="14" fillId="0" borderId="0" xfId="1" applyFont="1" applyFill="1" applyBorder="1" applyProtection="1"/>
    <xf numFmtId="0" fontId="6" fillId="0" borderId="0" xfId="1" applyFont="1" applyFill="1" applyBorder="1" applyAlignment="1" applyProtection="1">
      <alignment horizontal="left"/>
    </xf>
    <xf numFmtId="167" fontId="6" fillId="10" borderId="11" xfId="54" applyNumberFormat="1" applyFont="1" applyFill="1" applyBorder="1" applyAlignment="1"/>
    <xf numFmtId="167" fontId="6" fillId="12" borderId="11" xfId="54" applyNumberFormat="1" applyFont="1" applyFill="1" applyBorder="1"/>
    <xf numFmtId="0" fontId="9" fillId="0" borderId="0" xfId="1" applyFont="1"/>
    <xf numFmtId="167" fontId="6" fillId="12" borderId="11" xfId="47" applyNumberFormat="1" applyFont="1" applyFill="1" applyBorder="1" applyAlignment="1"/>
    <xf numFmtId="167" fontId="8" fillId="12" borderId="12" xfId="47" applyNumberFormat="1" applyFont="1" applyFill="1" applyBorder="1" applyAlignment="1"/>
    <xf numFmtId="167" fontId="8" fillId="12" borderId="11" xfId="47" applyNumberFormat="1" applyFont="1" applyFill="1" applyBorder="1" applyAlignment="1"/>
    <xf numFmtId="167" fontId="6" fillId="12" borderId="18" xfId="47" applyNumberFormat="1" applyFont="1" applyFill="1" applyBorder="1" applyAlignment="1"/>
    <xf numFmtId="167" fontId="8" fillId="12" borderId="18" xfId="47" applyNumberFormat="1" applyFont="1" applyFill="1" applyBorder="1" applyAlignment="1"/>
    <xf numFmtId="170" fontId="6" fillId="12" borderId="11" xfId="47" applyNumberFormat="1" applyFont="1" applyFill="1" applyBorder="1" applyAlignment="1"/>
    <xf numFmtId="167" fontId="6" fillId="12" borderId="12" xfId="47" applyNumberFormat="1" applyFont="1" applyFill="1" applyBorder="1" applyAlignment="1"/>
    <xf numFmtId="3" fontId="6" fillId="12" borderId="39" xfId="47" applyNumberFormat="1" applyFont="1" applyFill="1" applyBorder="1" applyAlignment="1"/>
    <xf numFmtId="167" fontId="6" fillId="12" borderId="40" xfId="47" applyNumberFormat="1" applyFont="1" applyFill="1" applyBorder="1" applyAlignment="1"/>
    <xf numFmtId="0" fontId="8" fillId="10" borderId="9" xfId="47" applyFont="1" applyFill="1" applyBorder="1" applyAlignment="1"/>
    <xf numFmtId="0" fontId="12" fillId="10" borderId="10" xfId="47" applyFont="1" applyFill="1" applyBorder="1" applyAlignment="1"/>
    <xf numFmtId="0" fontId="21" fillId="11" borderId="41" xfId="47" applyFont="1" applyFill="1" applyBorder="1" applyAlignment="1">
      <alignment horizontal="center"/>
    </xf>
    <xf numFmtId="0" fontId="21" fillId="11" borderId="42" xfId="47" applyFont="1" applyFill="1" applyBorder="1" applyAlignment="1">
      <alignment horizontal="center"/>
    </xf>
    <xf numFmtId="0" fontId="6" fillId="10" borderId="39" xfId="47" applyFont="1" applyFill="1" applyBorder="1" applyAlignment="1"/>
    <xf numFmtId="0" fontId="6" fillId="10" borderId="11" xfId="47" applyFont="1" applyFill="1" applyBorder="1" applyAlignment="1"/>
    <xf numFmtId="0" fontId="8" fillId="10" borderId="12" xfId="47" applyFont="1" applyFill="1" applyBorder="1" applyAlignment="1"/>
    <xf numFmtId="0" fontId="8" fillId="10" borderId="18" xfId="47" applyFont="1" applyFill="1" applyBorder="1" applyAlignment="1"/>
    <xf numFmtId="167" fontId="6" fillId="10" borderId="11" xfId="55" applyNumberFormat="1" applyFont="1" applyFill="1" applyBorder="1" applyAlignment="1"/>
    <xf numFmtId="0" fontId="8" fillId="10" borderId="14" xfId="47" applyFont="1" applyFill="1" applyBorder="1" applyAlignment="1"/>
    <xf numFmtId="0" fontId="8" fillId="10" borderId="11" xfId="47" applyFont="1" applyFill="1" applyBorder="1" applyAlignment="1"/>
    <xf numFmtId="0" fontId="6" fillId="10" borderId="12" xfId="47" applyFont="1" applyFill="1" applyBorder="1" applyAlignment="1"/>
    <xf numFmtId="0" fontId="6" fillId="10" borderId="11" xfId="47" applyFont="1" applyFill="1" applyBorder="1" applyAlignment="1">
      <alignment horizontal="left"/>
    </xf>
    <xf numFmtId="0" fontId="6" fillId="10" borderId="40" xfId="47" applyFont="1" applyFill="1" applyBorder="1" applyAlignment="1"/>
    <xf numFmtId="0" fontId="15" fillId="8" borderId="0" xfId="47" applyFont="1" applyFill="1" applyAlignment="1"/>
    <xf numFmtId="0" fontId="6" fillId="9" borderId="0" xfId="47" applyFont="1" applyFill="1" applyAlignment="1"/>
    <xf numFmtId="0" fontId="8" fillId="10" borderId="39" xfId="47" applyFont="1" applyFill="1" applyBorder="1" applyAlignment="1"/>
    <xf numFmtId="0" fontId="6" fillId="10" borderId="14" xfId="47" applyFont="1" applyFill="1" applyBorder="1"/>
    <xf numFmtId="0" fontId="8" fillId="10" borderId="15" xfId="47" applyFont="1" applyFill="1" applyBorder="1"/>
    <xf numFmtId="0" fontId="6" fillId="10" borderId="17" xfId="47" applyFont="1" applyFill="1" applyBorder="1"/>
    <xf numFmtId="0" fontId="8" fillId="10" borderId="17" xfId="47" applyFont="1" applyFill="1" applyBorder="1"/>
    <xf numFmtId="0" fontId="25" fillId="10" borderId="14" xfId="47" applyFill="1" applyBorder="1"/>
    <xf numFmtId="0" fontId="8" fillId="10" borderId="14" xfId="47" applyFont="1" applyFill="1" applyBorder="1"/>
    <xf numFmtId="0" fontId="8" fillId="10" borderId="15" xfId="47" applyFont="1" applyFill="1" applyBorder="1" applyAlignment="1"/>
    <xf numFmtId="0" fontId="22" fillId="10" borderId="11" xfId="47" applyFont="1" applyFill="1" applyBorder="1" applyAlignment="1">
      <alignment horizontal="left"/>
    </xf>
    <xf numFmtId="0" fontId="22" fillId="10" borderId="12" xfId="47" applyFont="1" applyFill="1" applyBorder="1" applyAlignment="1"/>
    <xf numFmtId="0" fontId="6" fillId="10" borderId="14" xfId="47" applyFont="1" applyFill="1" applyBorder="1" applyAlignment="1"/>
    <xf numFmtId="167" fontId="6" fillId="12" borderId="11" xfId="55" applyNumberFormat="1" applyFont="1" applyFill="1" applyBorder="1"/>
    <xf numFmtId="167" fontId="8" fillId="12" borderId="18" xfId="55" applyNumberFormat="1" applyFont="1" applyFill="1" applyBorder="1"/>
    <xf numFmtId="167" fontId="8" fillId="12" borderId="12" xfId="55" applyNumberFormat="1" applyFont="1" applyFill="1" applyBorder="1"/>
    <xf numFmtId="0" fontId="6" fillId="10" borderId="12" xfId="47" applyFont="1" applyFill="1" applyBorder="1"/>
    <xf numFmtId="167" fontId="6" fillId="12" borderId="12" xfId="55" applyNumberFormat="1" applyFont="1" applyFill="1" applyBorder="1"/>
    <xf numFmtId="167" fontId="6" fillId="12" borderId="11" xfId="47" applyNumberFormat="1" applyFont="1" applyFill="1" applyBorder="1"/>
    <xf numFmtId="0" fontId="6" fillId="10" borderId="32" xfId="47" applyFont="1" applyFill="1" applyBorder="1"/>
    <xf numFmtId="167" fontId="6" fillId="12" borderId="12" xfId="47" applyNumberFormat="1" applyFont="1" applyFill="1" applyBorder="1"/>
    <xf numFmtId="167" fontId="8" fillId="12" borderId="18" xfId="47" applyNumberFormat="1" applyFont="1" applyFill="1" applyBorder="1"/>
    <xf numFmtId="0" fontId="6" fillId="10" borderId="14" xfId="47" quotePrefix="1" applyFont="1" applyFill="1" applyBorder="1" applyAlignment="1">
      <alignment horizontal="left"/>
    </xf>
    <xf numFmtId="0" fontId="6" fillId="10" borderId="14" xfId="47" applyFont="1" applyFill="1" applyBorder="1" applyAlignment="1">
      <alignment horizontal="left"/>
    </xf>
    <xf numFmtId="0" fontId="6" fillId="10" borderId="13" xfId="47" quotePrefix="1" applyFont="1" applyFill="1" applyBorder="1" applyAlignment="1">
      <alignment horizontal="left"/>
    </xf>
    <xf numFmtId="167" fontId="8" fillId="12" borderId="12" xfId="47" applyNumberFormat="1" applyFont="1" applyFill="1" applyBorder="1"/>
    <xf numFmtId="0" fontId="8" fillId="10" borderId="17" xfId="47" quotePrefix="1" applyFont="1" applyFill="1" applyBorder="1" applyAlignment="1">
      <alignment horizontal="left"/>
    </xf>
    <xf numFmtId="0" fontId="8" fillId="10" borderId="14" xfId="47" quotePrefix="1" applyFont="1" applyFill="1" applyBorder="1" applyAlignment="1">
      <alignment horizontal="left"/>
    </xf>
    <xf numFmtId="0" fontId="8" fillId="10" borderId="14" xfId="47" applyFont="1" applyFill="1" applyBorder="1" applyAlignment="1">
      <alignment horizontal="left"/>
    </xf>
    <xf numFmtId="0" fontId="22" fillId="10" borderId="14" xfId="47" applyFont="1" applyFill="1" applyBorder="1"/>
    <xf numFmtId="0" fontId="6" fillId="10" borderId="17" xfId="47" quotePrefix="1" applyFont="1" applyFill="1" applyBorder="1" applyAlignment="1">
      <alignment horizontal="left"/>
    </xf>
    <xf numFmtId="0" fontId="8" fillId="10" borderId="43" xfId="47" applyFont="1" applyFill="1" applyBorder="1" applyAlignment="1"/>
    <xf numFmtId="0" fontId="12" fillId="10" borderId="44" xfId="47" applyFont="1" applyFill="1" applyBorder="1" applyAlignment="1"/>
    <xf numFmtId="0" fontId="6" fillId="10" borderId="32" xfId="47" applyFont="1" applyFill="1" applyBorder="1" applyAlignment="1"/>
    <xf numFmtId="167" fontId="6" fillId="12" borderId="39" xfId="47" applyNumberFormat="1" applyFont="1" applyFill="1" applyBorder="1"/>
    <xf numFmtId="0" fontId="8" fillId="10" borderId="32" xfId="47" applyFont="1" applyFill="1" applyBorder="1" applyAlignment="1">
      <alignment horizontal="left"/>
    </xf>
    <xf numFmtId="167" fontId="8" fillId="12" borderId="11" xfId="47" applyNumberFormat="1" applyFont="1" applyFill="1" applyBorder="1"/>
    <xf numFmtId="0" fontId="25" fillId="0" borderId="0" xfId="47"/>
    <xf numFmtId="0" fontId="8" fillId="10" borderId="39" xfId="47" quotePrefix="1" applyFont="1" applyFill="1" applyBorder="1" applyAlignment="1">
      <alignment horizontal="left" vertical="top" wrapText="1"/>
    </xf>
    <xf numFmtId="0" fontId="6" fillId="10" borderId="11" xfId="47" applyFont="1" applyFill="1" applyBorder="1" applyAlignment="1">
      <alignment horizontal="left" vertical="top" wrapText="1"/>
    </xf>
    <xf numFmtId="0" fontId="8" fillId="10" borderId="18" xfId="47" applyFont="1" applyFill="1" applyBorder="1" applyAlignment="1">
      <alignment horizontal="left" vertical="top" wrapText="1"/>
    </xf>
    <xf numFmtId="0" fontId="6" fillId="10" borderId="11" xfId="47" quotePrefix="1" applyFont="1" applyFill="1" applyBorder="1" applyAlignment="1">
      <alignment horizontal="left"/>
    </xf>
    <xf numFmtId="0" fontId="8" fillId="10" borderId="12" xfId="47" applyFont="1" applyFill="1" applyBorder="1" applyAlignment="1">
      <alignment horizontal="left"/>
    </xf>
    <xf numFmtId="3" fontId="25" fillId="12" borderId="39" xfId="47" applyNumberFormat="1" applyFill="1" applyBorder="1"/>
    <xf numFmtId="0" fontId="6" fillId="10" borderId="11" xfId="47" applyFont="1" applyFill="1" applyBorder="1" applyAlignment="1">
      <alignment vertical="top" wrapText="1"/>
    </xf>
    <xf numFmtId="0" fontId="8" fillId="10" borderId="11" xfId="47" quotePrefix="1" applyFont="1" applyFill="1" applyBorder="1" applyAlignment="1">
      <alignment horizontal="left" vertical="top" wrapText="1"/>
    </xf>
    <xf numFmtId="0" fontId="8" fillId="10" borderId="12" xfId="47" applyFont="1" applyFill="1" applyBorder="1" applyAlignment="1">
      <alignment horizontal="left" vertical="top" wrapText="1"/>
    </xf>
    <xf numFmtId="0" fontId="8" fillId="10" borderId="12" xfId="47" quotePrefix="1" applyFont="1" applyFill="1" applyBorder="1" applyAlignment="1">
      <alignment horizontal="left"/>
    </xf>
    <xf numFmtId="0" fontId="15" fillId="3" borderId="0" xfId="47" applyFont="1" applyFill="1" applyAlignment="1"/>
    <xf numFmtId="0" fontId="8" fillId="10" borderId="17" xfId="47" quotePrefix="1" applyFont="1" applyFill="1" applyBorder="1" applyAlignment="1">
      <alignment horizontal="left" vertical="top" wrapText="1"/>
    </xf>
    <xf numFmtId="0" fontId="6" fillId="10" borderId="14" xfId="47" applyFont="1" applyFill="1" applyBorder="1" applyAlignment="1">
      <alignment horizontal="left" vertical="top"/>
    </xf>
    <xf numFmtId="0" fontId="15" fillId="8" borderId="14" xfId="47" applyFont="1" applyFill="1" applyBorder="1" applyAlignment="1"/>
    <xf numFmtId="0" fontId="24" fillId="10" borderId="14" xfId="47" applyFont="1" applyFill="1" applyBorder="1" applyAlignment="1"/>
    <xf numFmtId="0" fontId="6" fillId="10" borderId="11" xfId="47" applyFont="1" applyFill="1" applyBorder="1"/>
    <xf numFmtId="0" fontId="8" fillId="10" borderId="18" xfId="47" applyFont="1" applyFill="1" applyBorder="1" applyAlignment="1">
      <alignment horizontal="left"/>
    </xf>
    <xf numFmtId="0" fontId="8" fillId="10" borderId="15" xfId="47" quotePrefix="1" applyFont="1" applyFill="1" applyBorder="1" applyAlignment="1"/>
    <xf numFmtId="0" fontId="6" fillId="10" borderId="14" xfId="49" applyFont="1" applyFill="1" applyBorder="1"/>
    <xf numFmtId="0" fontId="8" fillId="10" borderId="32" xfId="47" quotePrefix="1" applyFont="1" applyFill="1" applyBorder="1" applyAlignment="1">
      <alignment horizontal="left"/>
    </xf>
    <xf numFmtId="49" fontId="0" fillId="0" borderId="0" xfId="1" applyNumberFormat="1" applyFont="1"/>
    <xf numFmtId="0" fontId="12" fillId="0" borderId="0" xfId="50" applyFont="1" applyFill="1" applyBorder="1"/>
    <xf numFmtId="0" fontId="26" fillId="0" borderId="0" xfId="50" applyFont="1" applyFill="1" applyBorder="1" applyAlignment="1">
      <alignment horizontal="left"/>
    </xf>
    <xf numFmtId="167" fontId="25" fillId="0" borderId="0" xfId="50" applyNumberFormat="1"/>
    <xf numFmtId="0" fontId="6" fillId="0" borderId="29" xfId="1" applyFont="1" applyFill="1" applyBorder="1" applyAlignment="1" applyProtection="1">
      <protection locked="0"/>
    </xf>
    <xf numFmtId="170" fontId="6" fillId="0" borderId="27" xfId="1" applyNumberFormat="1" applyFont="1" applyFill="1" applyBorder="1" applyProtection="1"/>
    <xf numFmtId="167" fontId="6" fillId="18" borderId="11" xfId="47" applyNumberFormat="1" applyFont="1" applyFill="1" applyBorder="1" applyAlignment="1"/>
    <xf numFmtId="167" fontId="8" fillId="18" borderId="12" xfId="47" applyNumberFormat="1" applyFont="1" applyFill="1" applyBorder="1" applyAlignment="1"/>
    <xf numFmtId="167" fontId="8" fillId="18" borderId="11" xfId="47" applyNumberFormat="1" applyFont="1" applyFill="1" applyBorder="1" applyAlignment="1"/>
    <xf numFmtId="167" fontId="6" fillId="18" borderId="18" xfId="47" applyNumberFormat="1" applyFont="1" applyFill="1" applyBorder="1" applyAlignment="1"/>
    <xf numFmtId="167" fontId="8" fillId="18" borderId="18" xfId="47" applyNumberFormat="1" applyFont="1" applyFill="1" applyBorder="1" applyAlignment="1"/>
    <xf numFmtId="170" fontId="6" fillId="18" borderId="11" xfId="47" applyNumberFormat="1" applyFont="1" applyFill="1" applyBorder="1" applyAlignment="1"/>
    <xf numFmtId="167" fontId="6" fillId="18" borderId="12" xfId="47" applyNumberFormat="1" applyFont="1" applyFill="1" applyBorder="1" applyAlignment="1"/>
    <xf numFmtId="167" fontId="6" fillId="18" borderId="40" xfId="47" applyNumberFormat="1" applyFont="1" applyFill="1" applyBorder="1" applyAlignment="1"/>
    <xf numFmtId="167" fontId="6" fillId="18" borderId="11" xfId="54" applyNumberFormat="1" applyFont="1" applyFill="1" applyBorder="1"/>
    <xf numFmtId="3" fontId="6" fillId="18" borderId="39" xfId="47" applyNumberFormat="1" applyFont="1" applyFill="1" applyBorder="1" applyAlignment="1"/>
    <xf numFmtId="167" fontId="6" fillId="18" borderId="11" xfId="55" applyNumberFormat="1" applyFont="1" applyFill="1" applyBorder="1"/>
    <xf numFmtId="167" fontId="8" fillId="18" borderId="18" xfId="55" applyNumberFormat="1" applyFont="1" applyFill="1" applyBorder="1"/>
    <xf numFmtId="167" fontId="8" fillId="18" borderId="12" xfId="55" applyNumberFormat="1" applyFont="1" applyFill="1" applyBorder="1"/>
    <xf numFmtId="167" fontId="6" fillId="18" borderId="11" xfId="47" applyNumberFormat="1" applyFont="1" applyFill="1" applyBorder="1"/>
    <xf numFmtId="167" fontId="6" fillId="18" borderId="12" xfId="47" applyNumberFormat="1" applyFont="1" applyFill="1" applyBorder="1"/>
    <xf numFmtId="167" fontId="8" fillId="18" borderId="18" xfId="47" applyNumberFormat="1" applyFont="1" applyFill="1" applyBorder="1"/>
    <xf numFmtId="167" fontId="8" fillId="18" borderId="12" xfId="47" applyNumberFormat="1" applyFont="1" applyFill="1" applyBorder="1"/>
    <xf numFmtId="169" fontId="6" fillId="18" borderId="11" xfId="55" applyNumberFormat="1" applyFont="1" applyFill="1" applyBorder="1"/>
    <xf numFmtId="169" fontId="6" fillId="18" borderId="40" xfId="55" applyNumberFormat="1" applyFont="1" applyFill="1" applyBorder="1"/>
    <xf numFmtId="165" fontId="50" fillId="18" borderId="11" xfId="55" applyNumberFormat="1" applyFont="1" applyFill="1" applyBorder="1"/>
    <xf numFmtId="165" fontId="50" fillId="18" borderId="12" xfId="55" applyNumberFormat="1" applyFont="1" applyFill="1" applyBorder="1"/>
    <xf numFmtId="167" fontId="6" fillId="18" borderId="39" xfId="47" applyNumberFormat="1" applyFont="1" applyFill="1" applyBorder="1"/>
    <xf numFmtId="167" fontId="8" fillId="18" borderId="11" xfId="47" applyNumberFormat="1" applyFont="1" applyFill="1" applyBorder="1"/>
    <xf numFmtId="0" fontId="25" fillId="18" borderId="39" xfId="47" applyFill="1" applyBorder="1"/>
    <xf numFmtId="3" fontId="25" fillId="18" borderId="39" xfId="47" applyNumberFormat="1" applyFill="1" applyBorder="1"/>
    <xf numFmtId="167" fontId="5" fillId="18" borderId="11" xfId="55" applyNumberFormat="1" applyFill="1" applyBorder="1"/>
    <xf numFmtId="167" fontId="6" fillId="18" borderId="11" xfId="55" applyNumberFormat="1" applyFont="1" applyFill="1" applyBorder="1" applyAlignment="1">
      <alignment vertical="top" wrapText="1"/>
    </xf>
    <xf numFmtId="167" fontId="8" fillId="18" borderId="12" xfId="55" applyNumberFormat="1" applyFont="1" applyFill="1" applyBorder="1" applyAlignment="1">
      <alignment vertical="top" wrapText="1"/>
    </xf>
    <xf numFmtId="37" fontId="8" fillId="18" borderId="37" xfId="55" applyNumberFormat="1" applyFont="1" applyFill="1" applyBorder="1" applyAlignment="1">
      <alignment vertical="top" wrapText="1"/>
    </xf>
    <xf numFmtId="37" fontId="8" fillId="18" borderId="38" xfId="55" applyNumberFormat="1" applyFont="1" applyFill="1" applyBorder="1" applyAlignment="1">
      <alignment vertical="top" wrapText="1"/>
    </xf>
    <xf numFmtId="170" fontId="6" fillId="12" borderId="11" xfId="47" applyNumberFormat="1" applyFont="1" applyFill="1" applyBorder="1" applyAlignment="1">
      <alignment horizontal="right"/>
    </xf>
    <xf numFmtId="167" fontId="6" fillId="12" borderId="11" xfId="47" applyNumberFormat="1" applyFont="1" applyFill="1" applyBorder="1" applyAlignment="1">
      <alignment horizontal="right"/>
    </xf>
    <xf numFmtId="170" fontId="6" fillId="18" borderId="11" xfId="47" applyNumberFormat="1" applyFont="1" applyFill="1" applyBorder="1" applyAlignment="1">
      <alignment horizontal="right"/>
    </xf>
    <xf numFmtId="0" fontId="13" fillId="0" borderId="0" xfId="47" quotePrefix="1" applyFont="1" applyFill="1" applyBorder="1"/>
    <xf numFmtId="0" fontId="5" fillId="0" borderId="0" xfId="59"/>
    <xf numFmtId="0" fontId="5" fillId="10" borderId="10" xfId="47" quotePrefix="1" applyFont="1" applyFill="1" applyBorder="1" applyAlignment="1"/>
    <xf numFmtId="0" fontId="6" fillId="10" borderId="11" xfId="47" quotePrefix="1" applyFont="1" applyFill="1" applyBorder="1" applyAlignment="1"/>
    <xf numFmtId="0" fontId="8" fillId="10" borderId="12" xfId="47" quotePrefix="1" applyFont="1" applyFill="1" applyBorder="1" applyAlignment="1"/>
    <xf numFmtId="0" fontId="8" fillId="10" borderId="18" xfId="47" quotePrefix="1" applyFont="1" applyFill="1" applyBorder="1" applyAlignment="1"/>
    <xf numFmtId="0" fontId="8" fillId="10" borderId="14" xfId="47" quotePrefix="1" applyFont="1" applyFill="1" applyBorder="1" applyAlignment="1"/>
    <xf numFmtId="0" fontId="6" fillId="10" borderId="14" xfId="47" quotePrefix="1" applyFont="1" applyFill="1" applyBorder="1"/>
    <xf numFmtId="0" fontId="8" fillId="10" borderId="15" xfId="47" quotePrefix="1" applyFont="1" applyFill="1" applyBorder="1"/>
    <xf numFmtId="167" fontId="6" fillId="10" borderId="14" xfId="60" applyNumberFormat="1" applyFont="1" applyFill="1" applyBorder="1"/>
    <xf numFmtId="0" fontId="6" fillId="10" borderId="12" xfId="47" quotePrefix="1" applyFont="1" applyFill="1" applyBorder="1" applyAlignment="1"/>
    <xf numFmtId="0" fontId="22" fillId="10" borderId="12" xfId="47" quotePrefix="1" applyFont="1" applyFill="1" applyBorder="1" applyAlignment="1">
      <alignment horizontal="left"/>
    </xf>
    <xf numFmtId="0" fontId="6" fillId="10" borderId="17" xfId="47" quotePrefix="1" applyFont="1" applyFill="1" applyBorder="1"/>
    <xf numFmtId="173" fontId="6" fillId="18" borderId="11" xfId="47" applyNumberFormat="1" applyFont="1" applyFill="1" applyBorder="1" applyAlignment="1">
      <alignment horizontal="right"/>
    </xf>
    <xf numFmtId="167" fontId="8" fillId="18" borderId="11" xfId="7" applyNumberFormat="1" applyFont="1" applyFill="1" applyBorder="1" applyAlignment="1">
      <alignment horizontal="right"/>
    </xf>
    <xf numFmtId="167" fontId="6" fillId="18" borderId="11" xfId="7" applyNumberFormat="1" applyFont="1" applyFill="1" applyBorder="1" applyAlignment="1">
      <alignment horizontal="right"/>
    </xf>
    <xf numFmtId="167" fontId="6" fillId="18" borderId="11" xfId="7" quotePrefix="1" applyNumberFormat="1" applyFont="1" applyFill="1" applyBorder="1" applyAlignment="1">
      <alignment horizontal="right"/>
    </xf>
    <xf numFmtId="167" fontId="8" fillId="18" borderId="18" xfId="7" applyNumberFormat="1" applyFont="1" applyFill="1" applyBorder="1" applyAlignment="1"/>
    <xf numFmtId="1" fontId="6" fillId="18" borderId="11" xfId="47" applyNumberFormat="1" applyFont="1" applyFill="1" applyBorder="1" applyAlignment="1">
      <alignment horizontal="right"/>
    </xf>
    <xf numFmtId="174" fontId="6" fillId="18" borderId="11" xfId="52" applyNumberFormat="1" applyFont="1" applyFill="1" applyBorder="1" applyAlignment="1">
      <alignment horizontal="right"/>
    </xf>
    <xf numFmtId="1" fontId="6" fillId="18" borderId="11" xfId="52" applyNumberFormat="1" applyFont="1" applyFill="1" applyBorder="1" applyAlignment="1">
      <alignment horizontal="right"/>
    </xf>
    <xf numFmtId="167" fontId="6" fillId="18" borderId="12" xfId="7" applyNumberFormat="1" applyFont="1" applyFill="1" applyBorder="1" applyAlignment="1"/>
    <xf numFmtId="167" fontId="6" fillId="18" borderId="11" xfId="7" applyNumberFormat="1" applyFont="1" applyFill="1" applyBorder="1" applyAlignment="1"/>
    <xf numFmtId="167" fontId="6" fillId="18" borderId="11" xfId="7" quotePrefix="1" applyNumberFormat="1" applyFont="1" applyFill="1" applyBorder="1" applyAlignment="1"/>
    <xf numFmtId="173" fontId="6" fillId="18" borderId="12" xfId="47" applyNumberFormat="1" applyFont="1" applyFill="1" applyBorder="1" applyAlignment="1">
      <alignment horizontal="right"/>
    </xf>
    <xf numFmtId="175" fontId="6" fillId="18" borderId="11" xfId="7" applyNumberFormat="1" applyFont="1" applyFill="1" applyBorder="1" applyAlignment="1"/>
    <xf numFmtId="176" fontId="6" fillId="18" borderId="12" xfId="7" applyNumberFormat="1" applyFont="1" applyFill="1" applyBorder="1" applyAlignment="1"/>
    <xf numFmtId="0" fontId="8" fillId="10" borderId="17" xfId="47" applyFont="1" applyFill="1" applyBorder="1" applyAlignment="1">
      <alignment horizontal="left" vertical="top" wrapText="1"/>
    </xf>
    <xf numFmtId="37" fontId="8" fillId="18" borderId="37" xfId="62" applyNumberFormat="1" applyFont="1" applyFill="1" applyBorder="1" applyAlignment="1">
      <alignment vertical="top" wrapText="1"/>
    </xf>
    <xf numFmtId="3" fontId="6" fillId="10" borderId="13" xfId="63" applyNumberFormat="1" applyFont="1" applyFill="1" applyBorder="1"/>
    <xf numFmtId="3" fontId="6" fillId="10" borderId="14" xfId="63" applyNumberFormat="1" applyFont="1" applyFill="1" applyBorder="1"/>
    <xf numFmtId="3" fontId="8" fillId="10" borderId="15" xfId="63" applyNumberFormat="1" applyFont="1" applyFill="1" applyBorder="1"/>
    <xf numFmtId="3" fontId="8" fillId="10" borderId="16" xfId="63" applyNumberFormat="1" applyFont="1" applyFill="1" applyBorder="1"/>
    <xf numFmtId="0" fontId="5" fillId="10" borderId="14" xfId="49" applyFont="1" applyFill="1" applyBorder="1"/>
    <xf numFmtId="3" fontId="8" fillId="10" borderId="14" xfId="63" applyNumberFormat="1" applyFont="1" applyFill="1" applyBorder="1"/>
    <xf numFmtId="0" fontId="8" fillId="10" borderId="11" xfId="47" applyFont="1" applyFill="1" applyBorder="1" applyAlignment="1">
      <alignment horizontal="left" vertical="top" wrapText="1"/>
    </xf>
    <xf numFmtId="167" fontId="8" fillId="18" borderId="40" xfId="55" applyNumberFormat="1" applyFont="1" applyFill="1" applyBorder="1"/>
    <xf numFmtId="0" fontId="5" fillId="0" borderId="0" xfId="0" applyFont="1"/>
    <xf numFmtId="167" fontId="6" fillId="19" borderId="27" xfId="7" applyNumberFormat="1" applyFont="1" applyFill="1" applyBorder="1" applyProtection="1"/>
    <xf numFmtId="0" fontId="13" fillId="10" borderId="40" xfId="47" applyFont="1" applyFill="1" applyBorder="1" applyAlignment="1"/>
    <xf numFmtId="167" fontId="0" fillId="0" borderId="0" xfId="0" applyNumberFormat="1"/>
    <xf numFmtId="167" fontId="6" fillId="17" borderId="27" xfId="7" applyNumberFormat="1" applyFont="1" applyFill="1" applyBorder="1" applyProtection="1"/>
    <xf numFmtId="167" fontId="6" fillId="17" borderId="28" xfId="7" applyNumberFormat="1" applyFont="1" applyFill="1" applyBorder="1" applyProtection="1"/>
    <xf numFmtId="167" fontId="6" fillId="17" borderId="29" xfId="7" applyNumberFormat="1" applyFont="1" applyFill="1" applyBorder="1" applyProtection="1"/>
    <xf numFmtId="167" fontId="6" fillId="17" borderId="0" xfId="7" applyNumberFormat="1" applyFont="1" applyFill="1" applyProtection="1"/>
    <xf numFmtId="167" fontId="8" fillId="17" borderId="34" xfId="7" applyNumberFormat="1" applyFont="1" applyFill="1" applyBorder="1" applyProtection="1"/>
    <xf numFmtId="0" fontId="15" fillId="20" borderId="41" xfId="47" applyFont="1" applyFill="1" applyBorder="1" applyAlignment="1">
      <alignment horizontal="center"/>
    </xf>
    <xf numFmtId="0" fontId="51" fillId="0" borderId="0" xfId="0" applyFont="1"/>
    <xf numFmtId="0" fontId="15" fillId="20" borderId="10" xfId="47" applyFont="1" applyFill="1" applyBorder="1" applyAlignment="1">
      <alignment horizontal="center"/>
    </xf>
    <xf numFmtId="168" fontId="0" fillId="0" borderId="0" xfId="52" applyNumberFormat="1" applyFont="1"/>
    <xf numFmtId="167" fontId="25" fillId="0" borderId="0" xfId="47" applyNumberFormat="1"/>
    <xf numFmtId="0" fontId="46" fillId="0" borderId="0" xfId="64" applyFont="1" applyFill="1" applyProtection="1">
      <protection locked="0"/>
    </xf>
    <xf numFmtId="0" fontId="6" fillId="0" borderId="0" xfId="64" applyFont="1" applyFill="1" applyProtection="1">
      <protection locked="0"/>
    </xf>
    <xf numFmtId="0" fontId="8" fillId="14" borderId="33" xfId="64" applyFont="1" applyFill="1" applyBorder="1" applyAlignment="1" applyProtection="1">
      <alignment horizontal="centerContinuous"/>
      <protection locked="0"/>
    </xf>
    <xf numFmtId="0" fontId="6" fillId="14" borderId="33" xfId="64" applyFont="1" applyFill="1" applyBorder="1" applyAlignment="1" applyProtection="1">
      <alignment horizontal="centerContinuous"/>
      <protection locked="0"/>
    </xf>
    <xf numFmtId="0" fontId="8" fillId="13" borderId="26" xfId="64" applyFont="1" applyFill="1" applyBorder="1" applyProtection="1">
      <protection locked="0"/>
    </xf>
    <xf numFmtId="0" fontId="8" fillId="13" borderId="25" xfId="64" applyFont="1" applyFill="1" applyBorder="1" applyAlignment="1" applyProtection="1">
      <alignment horizontal="right"/>
    </xf>
    <xf numFmtId="0" fontId="6" fillId="0" borderId="0" xfId="64" applyFont="1" applyFill="1" applyBorder="1" applyProtection="1">
      <protection locked="0"/>
    </xf>
    <xf numFmtId="0" fontId="6" fillId="0" borderId="0" xfId="64" applyFont="1" applyFill="1" applyProtection="1"/>
    <xf numFmtId="0" fontId="8" fillId="0" borderId="0" xfId="64" applyFont="1" applyFill="1" applyBorder="1" applyAlignment="1" applyProtection="1">
      <alignment horizontal="centerContinuous"/>
    </xf>
    <xf numFmtId="0" fontId="6" fillId="0" borderId="0" xfId="64" applyFont="1" applyFill="1" applyBorder="1" applyAlignment="1" applyProtection="1">
      <alignment horizontal="centerContinuous"/>
    </xf>
    <xf numFmtId="170" fontId="6" fillId="0" borderId="30" xfId="64" applyNumberFormat="1" applyFont="1" applyFill="1" applyBorder="1" applyProtection="1"/>
    <xf numFmtId="170" fontId="6" fillId="0" borderId="27" xfId="64" applyNumberFormat="1" applyFont="1" applyFill="1" applyBorder="1" applyProtection="1"/>
    <xf numFmtId="0" fontId="8" fillId="14" borderId="33" xfId="1" applyFont="1" applyFill="1" applyBorder="1" applyAlignment="1" applyProtection="1">
      <alignment horizontal="left"/>
      <protection locked="0"/>
    </xf>
    <xf numFmtId="0" fontId="46" fillId="0" borderId="0" xfId="64" applyFont="1" applyProtection="1">
      <protection locked="0"/>
    </xf>
    <xf numFmtId="0" fontId="14" fillId="0" borderId="0" xfId="64" applyFont="1" applyFill="1" applyProtection="1"/>
    <xf numFmtId="0" fontId="14" fillId="0" borderId="0" xfId="64" applyFont="1" applyProtection="1"/>
    <xf numFmtId="0" fontId="6" fillId="0" borderId="0" xfId="64" applyFont="1" applyProtection="1"/>
    <xf numFmtId="0" fontId="6" fillId="0" borderId="0" xfId="64" applyFont="1" applyProtection="1">
      <protection locked="0"/>
    </xf>
    <xf numFmtId="0" fontId="8" fillId="0" borderId="26" xfId="64" applyFont="1" applyFill="1" applyBorder="1" applyProtection="1">
      <protection locked="0"/>
    </xf>
    <xf numFmtId="167" fontId="8" fillId="0" borderId="31" xfId="7" applyNumberFormat="1" applyFont="1" applyFill="1" applyBorder="1" applyProtection="1"/>
    <xf numFmtId="167" fontId="8" fillId="0" borderId="26" xfId="7" applyNumberFormat="1" applyFont="1" applyFill="1" applyBorder="1" applyProtection="1"/>
    <xf numFmtId="0" fontId="6" fillId="0" borderId="26" xfId="1" applyFont="1" applyFill="1" applyBorder="1" applyProtection="1">
      <protection locked="0"/>
    </xf>
    <xf numFmtId="0" fontId="15" fillId="11" borderId="41" xfId="47" applyFont="1" applyFill="1" applyBorder="1" applyAlignment="1">
      <alignment horizontal="center"/>
    </xf>
    <xf numFmtId="0" fontId="15" fillId="11" borderId="42" xfId="47" applyFont="1" applyFill="1" applyBorder="1" applyAlignment="1">
      <alignment horizontal="center"/>
    </xf>
    <xf numFmtId="173" fontId="6" fillId="12" borderId="11" xfId="47" applyNumberFormat="1" applyFont="1" applyFill="1" applyBorder="1" applyAlignment="1">
      <alignment horizontal="right"/>
    </xf>
    <xf numFmtId="167" fontId="8" fillId="12" borderId="11" xfId="7" applyNumberFormat="1" applyFont="1" applyFill="1" applyBorder="1" applyAlignment="1">
      <alignment horizontal="right"/>
    </xf>
    <xf numFmtId="167" fontId="8" fillId="12" borderId="11" xfId="7" quotePrefix="1" applyNumberFormat="1" applyFont="1" applyFill="1" applyBorder="1" applyAlignment="1">
      <alignment horizontal="right"/>
    </xf>
    <xf numFmtId="167" fontId="6" fillId="12" borderId="11" xfId="7" applyNumberFormat="1" applyFont="1" applyFill="1" applyBorder="1" applyAlignment="1">
      <alignment horizontal="right"/>
    </xf>
    <xf numFmtId="167" fontId="6" fillId="12" borderId="11" xfId="7" quotePrefix="1" applyNumberFormat="1" applyFont="1" applyFill="1" applyBorder="1" applyAlignment="1">
      <alignment horizontal="right"/>
    </xf>
    <xf numFmtId="167" fontId="8" fillId="12" borderId="18" xfId="7" applyNumberFormat="1" applyFont="1" applyFill="1" applyBorder="1" applyAlignment="1"/>
    <xf numFmtId="1" fontId="6" fillId="12" borderId="11" xfId="47" applyNumberFormat="1" applyFont="1" applyFill="1" applyBorder="1" applyAlignment="1">
      <alignment horizontal="right"/>
    </xf>
    <xf numFmtId="174" fontId="6" fillId="12" borderId="11" xfId="52" applyNumberFormat="1" applyFont="1" applyFill="1" applyBorder="1" applyAlignment="1">
      <alignment horizontal="right"/>
    </xf>
    <xf numFmtId="1" fontId="6" fillId="12" borderId="11" xfId="52" applyNumberFormat="1" applyFont="1" applyFill="1" applyBorder="1" applyAlignment="1">
      <alignment horizontal="right"/>
    </xf>
    <xf numFmtId="1" fontId="6" fillId="12" borderId="11" xfId="47" quotePrefix="1" applyNumberFormat="1" applyFont="1" applyFill="1" applyBorder="1" applyAlignment="1">
      <alignment horizontal="right"/>
    </xf>
    <xf numFmtId="167" fontId="6" fillId="12" borderId="12" xfId="7" applyNumberFormat="1" applyFont="1" applyFill="1" applyBorder="1" applyAlignment="1"/>
    <xf numFmtId="167" fontId="6" fillId="12" borderId="11" xfId="7" applyNumberFormat="1" applyFont="1" applyFill="1" applyBorder="1" applyAlignment="1"/>
    <xf numFmtId="167" fontId="6" fillId="12" borderId="11" xfId="7" quotePrefix="1" applyNumberFormat="1" applyFont="1" applyFill="1" applyBorder="1" applyAlignment="1"/>
    <xf numFmtId="173" fontId="6" fillId="12" borderId="11" xfId="47" quotePrefix="1" applyNumberFormat="1" applyFont="1" applyFill="1" applyBorder="1" applyAlignment="1">
      <alignment horizontal="right"/>
    </xf>
    <xf numFmtId="173" fontId="6" fillId="12" borderId="12" xfId="47" applyNumberFormat="1" applyFont="1" applyFill="1" applyBorder="1" applyAlignment="1">
      <alignment horizontal="right"/>
    </xf>
    <xf numFmtId="175" fontId="6" fillId="12" borderId="11" xfId="7" applyNumberFormat="1" applyFont="1" applyFill="1" applyBorder="1" applyAlignment="1"/>
    <xf numFmtId="176" fontId="6" fillId="12" borderId="12" xfId="7" applyNumberFormat="1" applyFont="1" applyFill="1" applyBorder="1" applyAlignment="1"/>
    <xf numFmtId="167" fontId="5" fillId="12" borderId="11" xfId="47" applyNumberFormat="1" applyFont="1" applyFill="1" applyBorder="1" applyAlignment="1"/>
    <xf numFmtId="167" fontId="5" fillId="18" borderId="11" xfId="47" applyNumberFormat="1" applyFont="1" applyFill="1" applyBorder="1" applyAlignment="1"/>
    <xf numFmtId="166" fontId="5" fillId="12" borderId="11" xfId="47" applyNumberFormat="1" applyFont="1" applyFill="1" applyBorder="1" applyAlignment="1"/>
    <xf numFmtId="166" fontId="5" fillId="18" borderId="11" xfId="47" applyNumberFormat="1" applyFont="1" applyFill="1" applyBorder="1" applyAlignment="1"/>
    <xf numFmtId="167" fontId="6" fillId="18" borderId="11" xfId="64" applyNumberFormat="1" applyFont="1" applyFill="1" applyBorder="1"/>
    <xf numFmtId="167" fontId="8" fillId="18" borderId="18" xfId="64" applyNumberFormat="1" applyFont="1" applyFill="1" applyBorder="1"/>
    <xf numFmtId="167" fontId="8" fillId="18" borderId="19" xfId="64" applyNumberFormat="1" applyFont="1" applyFill="1" applyBorder="1"/>
    <xf numFmtId="170" fontId="6" fillId="18" borderId="11" xfId="64" applyNumberFormat="1" applyFont="1" applyFill="1" applyBorder="1"/>
    <xf numFmtId="167" fontId="6" fillId="18" borderId="12" xfId="64" applyNumberFormat="1" applyFont="1" applyFill="1" applyBorder="1"/>
    <xf numFmtId="0" fontId="15" fillId="11" borderId="10" xfId="47" applyFont="1" applyFill="1" applyBorder="1" applyAlignment="1">
      <alignment horizontal="center"/>
    </xf>
    <xf numFmtId="0" fontId="15" fillId="11" borderId="23" xfId="47" applyFont="1" applyFill="1" applyBorder="1" applyAlignment="1">
      <alignment horizontal="center"/>
    </xf>
    <xf numFmtId="0" fontId="15" fillId="20" borderId="23" xfId="47" applyFont="1" applyFill="1" applyBorder="1" applyAlignment="1">
      <alignment horizontal="center"/>
    </xf>
    <xf numFmtId="0" fontId="15" fillId="11" borderId="36" xfId="47" applyFont="1" applyFill="1" applyBorder="1" applyAlignment="1">
      <alignment horizontal="center"/>
    </xf>
    <xf numFmtId="0" fontId="15" fillId="11" borderId="45" xfId="47" applyFont="1" applyFill="1" applyBorder="1" applyAlignment="1">
      <alignment horizontal="center"/>
    </xf>
    <xf numFmtId="0" fontId="15" fillId="20" borderId="45" xfId="47" applyFont="1" applyFill="1" applyBorder="1" applyAlignment="1">
      <alignment horizontal="center"/>
    </xf>
    <xf numFmtId="167" fontId="6" fillId="0" borderId="0" xfId="1" applyNumberFormat="1" applyFont="1" applyFill="1" applyBorder="1" applyProtection="1"/>
    <xf numFmtId="9" fontId="0" fillId="0" borderId="0" xfId="52" applyFont="1"/>
    <xf numFmtId="174" fontId="0" fillId="0" borderId="0" xfId="0" applyNumberFormat="1"/>
    <xf numFmtId="0" fontId="45" fillId="9" borderId="47" xfId="47" applyFont="1" applyFill="1" applyBorder="1" applyAlignment="1">
      <alignment horizontal="center"/>
    </xf>
    <xf numFmtId="167" fontId="6" fillId="16" borderId="0" xfId="7" applyNumberFormat="1" applyFont="1" applyFill="1" applyProtection="1"/>
    <xf numFmtId="167" fontId="8" fillId="16" borderId="34" xfId="7" applyNumberFormat="1" applyFont="1" applyFill="1" applyBorder="1" applyProtection="1"/>
    <xf numFmtId="167" fontId="6" fillId="16" borderId="27" xfId="7" applyNumberFormat="1" applyFont="1" applyFill="1" applyBorder="1" applyProtection="1"/>
    <xf numFmtId="0" fontId="45" fillId="9" borderId="47" xfId="47" applyFont="1" applyFill="1" applyBorder="1" applyAlignment="1">
      <alignment horizontal="center"/>
    </xf>
    <xf numFmtId="177" fontId="0" fillId="0" borderId="0" xfId="0" applyNumberFormat="1"/>
    <xf numFmtId="0" fontId="45" fillId="9" borderId="47" xfId="47" applyFont="1" applyFill="1" applyBorder="1" applyAlignment="1">
      <alignment horizontal="center"/>
    </xf>
    <xf numFmtId="0" fontId="8" fillId="14" borderId="33" xfId="64" applyFont="1" applyFill="1" applyBorder="1" applyAlignment="1" applyProtection="1">
      <alignment horizontal="left"/>
      <protection locked="0"/>
    </xf>
    <xf numFmtId="0" fontId="15" fillId="61" borderId="41" xfId="47" applyFont="1" applyFill="1" applyBorder="1" applyAlignment="1">
      <alignment horizontal="center"/>
    </xf>
    <xf numFmtId="0" fontId="21" fillId="61" borderId="41" xfId="47" applyFont="1" applyFill="1" applyBorder="1" applyAlignment="1">
      <alignment horizontal="center"/>
    </xf>
    <xf numFmtId="0" fontId="21" fillId="61" borderId="42" xfId="47" applyFont="1" applyFill="1" applyBorder="1" applyAlignment="1">
      <alignment horizontal="center"/>
    </xf>
    <xf numFmtId="0" fontId="15" fillId="61" borderId="42" xfId="47" applyFont="1" applyFill="1" applyBorder="1" applyAlignment="1">
      <alignment horizontal="center"/>
    </xf>
    <xf numFmtId="0" fontId="15" fillId="61" borderId="10" xfId="47" applyFont="1" applyFill="1" applyBorder="1" applyAlignment="1">
      <alignment horizontal="center"/>
    </xf>
    <xf numFmtId="0" fontId="15" fillId="61" borderId="23" xfId="47" applyFont="1" applyFill="1" applyBorder="1" applyAlignment="1">
      <alignment horizontal="center"/>
    </xf>
    <xf numFmtId="0" fontId="15" fillId="61" borderId="45" xfId="47" applyFont="1" applyFill="1" applyBorder="1" applyAlignment="1">
      <alignment horizontal="center"/>
    </xf>
    <xf numFmtId="0" fontId="45" fillId="9" borderId="47" xfId="47" applyFont="1" applyFill="1" applyBorder="1" applyAlignment="1">
      <alignment horizontal="center"/>
    </xf>
    <xf numFmtId="0" fontId="45" fillId="9" borderId="47" xfId="47" applyFont="1" applyFill="1" applyBorder="1" applyAlignment="1">
      <alignment horizontal="center"/>
    </xf>
    <xf numFmtId="167" fontId="6" fillId="62" borderId="11" xfId="47" applyNumberFormat="1" applyFont="1" applyFill="1" applyBorder="1" applyAlignment="1"/>
    <xf numFmtId="167" fontId="8" fillId="62" borderId="12" xfId="47" applyNumberFormat="1" applyFont="1" applyFill="1" applyBorder="1" applyAlignment="1"/>
    <xf numFmtId="167" fontId="8" fillId="62" borderId="11" xfId="47" applyNumberFormat="1" applyFont="1" applyFill="1" applyBorder="1" applyAlignment="1"/>
    <xf numFmtId="167" fontId="6" fillId="62" borderId="18" xfId="47" applyNumberFormat="1" applyFont="1" applyFill="1" applyBorder="1" applyAlignment="1"/>
    <xf numFmtId="167" fontId="8" fillId="62" borderId="18" xfId="47" applyNumberFormat="1" applyFont="1" applyFill="1" applyBorder="1" applyAlignment="1"/>
    <xf numFmtId="167" fontId="6" fillId="62" borderId="11" xfId="47" applyNumberFormat="1" applyFont="1" applyFill="1" applyBorder="1"/>
    <xf numFmtId="167" fontId="5" fillId="62" borderId="11" xfId="47" applyNumberFormat="1" applyFont="1" applyFill="1" applyBorder="1" applyAlignment="1"/>
    <xf numFmtId="170" fontId="6" fillId="62" borderId="11" xfId="47" applyNumberFormat="1" applyFont="1" applyFill="1" applyBorder="1" applyAlignment="1"/>
    <xf numFmtId="167" fontId="6" fillId="62" borderId="40" xfId="47" applyNumberFormat="1" applyFont="1" applyFill="1" applyBorder="1" applyAlignment="1"/>
    <xf numFmtId="167" fontId="6" fillId="62" borderId="12" xfId="47" applyNumberFormat="1" applyFont="1" applyFill="1" applyBorder="1" applyAlignment="1"/>
    <xf numFmtId="167" fontId="6" fillId="62" borderId="11" xfId="54" applyNumberFormat="1" applyFont="1" applyFill="1" applyBorder="1"/>
    <xf numFmtId="166" fontId="5" fillId="62" borderId="11" xfId="47" applyNumberFormat="1" applyFont="1" applyFill="1" applyBorder="1" applyAlignment="1"/>
    <xf numFmtId="170" fontId="6" fillId="62" borderId="11" xfId="47" applyNumberFormat="1" applyFont="1" applyFill="1" applyBorder="1" applyAlignment="1">
      <alignment horizontal="right"/>
    </xf>
    <xf numFmtId="3" fontId="6" fillId="62" borderId="39" xfId="47" applyNumberFormat="1" applyFont="1" applyFill="1" applyBorder="1" applyAlignment="1"/>
    <xf numFmtId="167" fontId="6" fillId="62" borderId="11" xfId="55" applyNumberFormat="1" applyFont="1" applyFill="1" applyBorder="1"/>
    <xf numFmtId="167" fontId="8" fillId="62" borderId="18" xfId="55" applyNumberFormat="1" applyFont="1" applyFill="1" applyBorder="1"/>
    <xf numFmtId="167" fontId="8" fillId="62" borderId="12" xfId="55" applyNumberFormat="1" applyFont="1" applyFill="1" applyBorder="1"/>
    <xf numFmtId="167" fontId="6" fillId="62" borderId="40" xfId="47" applyNumberFormat="1" applyFont="1" applyFill="1" applyBorder="1"/>
    <xf numFmtId="167" fontId="8" fillId="62" borderId="18" xfId="47" applyNumberFormat="1" applyFont="1" applyFill="1" applyBorder="1"/>
    <xf numFmtId="167" fontId="6" fillId="62" borderId="12" xfId="47" applyNumberFormat="1" applyFont="1" applyFill="1" applyBorder="1"/>
    <xf numFmtId="0" fontId="25" fillId="62" borderId="39" xfId="47" applyFill="1" applyBorder="1"/>
    <xf numFmtId="167" fontId="8" fillId="62" borderId="40" xfId="55" applyNumberFormat="1" applyFont="1" applyFill="1" applyBorder="1"/>
    <xf numFmtId="167" fontId="6" fillId="62" borderId="39" xfId="47" applyNumberFormat="1" applyFont="1" applyFill="1" applyBorder="1"/>
    <xf numFmtId="167" fontId="8" fillId="62" borderId="11" xfId="47" applyNumberFormat="1" applyFont="1" applyFill="1" applyBorder="1"/>
    <xf numFmtId="0" fontId="15" fillId="61" borderId="36" xfId="47" applyFont="1" applyFill="1" applyBorder="1" applyAlignment="1">
      <alignment horizontal="center"/>
    </xf>
    <xf numFmtId="0" fontId="15" fillId="61" borderId="10" xfId="64" applyFont="1" applyFill="1" applyBorder="1" applyAlignment="1">
      <alignment horizontal="center"/>
    </xf>
    <xf numFmtId="167" fontId="6" fillId="62" borderId="11" xfId="64" applyNumberFormat="1" applyFont="1" applyFill="1" applyBorder="1"/>
    <xf numFmtId="167" fontId="8" fillId="62" borderId="18" xfId="64" applyNumberFormat="1" applyFont="1" applyFill="1" applyBorder="1"/>
    <xf numFmtId="167" fontId="8" fillId="62" borderId="19" xfId="64" applyNumberFormat="1" applyFont="1" applyFill="1" applyBorder="1"/>
    <xf numFmtId="170" fontId="6" fillId="62" borderId="11" xfId="64" applyNumberFormat="1" applyFont="1" applyFill="1" applyBorder="1"/>
    <xf numFmtId="167" fontId="6" fillId="62" borderId="12" xfId="64" applyNumberFormat="1" applyFont="1" applyFill="1" applyBorder="1"/>
    <xf numFmtId="167" fontId="6" fillId="62" borderId="39" xfId="55" applyNumberFormat="1" applyFont="1" applyFill="1" applyBorder="1"/>
    <xf numFmtId="167" fontId="8" fillId="62" borderId="12" xfId="47" applyNumberFormat="1" applyFont="1" applyFill="1" applyBorder="1"/>
    <xf numFmtId="169" fontId="6" fillId="62" borderId="11" xfId="55" applyNumberFormat="1" applyFont="1" applyFill="1" applyBorder="1"/>
    <xf numFmtId="164" fontId="6" fillId="62" borderId="11" xfId="55" applyNumberFormat="1" applyFont="1" applyFill="1" applyBorder="1"/>
    <xf numFmtId="164" fontId="6" fillId="62" borderId="12" xfId="55" applyNumberFormat="1" applyFont="1" applyFill="1" applyBorder="1"/>
    <xf numFmtId="169" fontId="6" fillId="62" borderId="40" xfId="55" applyNumberFormat="1" applyFont="1" applyFill="1" applyBorder="1"/>
    <xf numFmtId="165" fontId="50" fillId="62" borderId="11" xfId="55" applyNumberFormat="1" applyFont="1" applyFill="1" applyBorder="1"/>
    <xf numFmtId="165" fontId="50" fillId="62" borderId="12" xfId="55" applyNumberFormat="1" applyFont="1" applyFill="1" applyBorder="1"/>
    <xf numFmtId="3" fontId="25" fillId="62" borderId="39" xfId="47" applyNumberFormat="1" applyFill="1" applyBorder="1"/>
    <xf numFmtId="167" fontId="5" fillId="62" borderId="11" xfId="55" applyNumberFormat="1" applyFill="1" applyBorder="1"/>
    <xf numFmtId="167" fontId="6" fillId="62" borderId="11" xfId="55" applyNumberFormat="1" applyFont="1" applyFill="1" applyBorder="1" applyAlignment="1">
      <alignment vertical="top" wrapText="1"/>
    </xf>
    <xf numFmtId="167" fontId="8" fillId="62" borderId="12" xfId="55" applyNumberFormat="1" applyFont="1" applyFill="1" applyBorder="1" applyAlignment="1">
      <alignment vertical="top" wrapText="1"/>
    </xf>
    <xf numFmtId="37" fontId="8" fillId="62" borderId="37" xfId="62" applyNumberFormat="1" applyFont="1" applyFill="1" applyBorder="1" applyAlignment="1">
      <alignment vertical="top" wrapText="1"/>
    </xf>
    <xf numFmtId="1" fontId="5" fillId="0" borderId="0" xfId="0" applyNumberFormat="1" applyFont="1"/>
    <xf numFmtId="0" fontId="6" fillId="9" borderId="63" xfId="47" applyFont="1" applyFill="1" applyBorder="1" applyAlignment="1"/>
    <xf numFmtId="171" fontId="6" fillId="12" borderId="11" xfId="47" applyNumberFormat="1" applyFont="1" applyFill="1" applyBorder="1"/>
    <xf numFmtId="171" fontId="6" fillId="18" borderId="11" xfId="47" applyNumberFormat="1" applyFont="1" applyFill="1" applyBorder="1"/>
    <xf numFmtId="171" fontId="6" fillId="62" borderId="11" xfId="47" applyNumberFormat="1" applyFont="1" applyFill="1" applyBorder="1"/>
    <xf numFmtId="167" fontId="6" fillId="12" borderId="62" xfId="47" applyNumberFormat="1" applyFont="1" applyFill="1" applyBorder="1"/>
    <xf numFmtId="167" fontId="6" fillId="18" borderId="62" xfId="47" applyNumberFormat="1" applyFont="1" applyFill="1" applyBorder="1"/>
    <xf numFmtId="167" fontId="6" fillId="62" borderId="62" xfId="47" applyNumberFormat="1" applyFont="1" applyFill="1" applyBorder="1"/>
    <xf numFmtId="0" fontId="22" fillId="10" borderId="11" xfId="47" applyFont="1" applyFill="1" applyBorder="1" applyAlignment="1"/>
    <xf numFmtId="167" fontId="6" fillId="12" borderId="67" xfId="47" applyNumberFormat="1" applyFont="1" applyFill="1" applyBorder="1"/>
    <xf numFmtId="167" fontId="6" fillId="18" borderId="67" xfId="47" applyNumberFormat="1" applyFont="1" applyFill="1" applyBorder="1"/>
    <xf numFmtId="167" fontId="6" fillId="62" borderId="67" xfId="47" applyNumberFormat="1" applyFont="1" applyFill="1" applyBorder="1"/>
    <xf numFmtId="0" fontId="6" fillId="0" borderId="65" xfId="1" applyFont="1" applyFill="1" applyBorder="1" applyAlignment="1"/>
    <xf numFmtId="167" fontId="0" fillId="0" borderId="65" xfId="7" applyNumberFormat="1" applyFont="1" applyBorder="1"/>
    <xf numFmtId="168" fontId="0" fillId="0" borderId="65" xfId="52" applyNumberFormat="1" applyFont="1" applyBorder="1"/>
    <xf numFmtId="0" fontId="6" fillId="0" borderId="64" xfId="1" applyFont="1" applyFill="1" applyBorder="1" applyAlignment="1"/>
    <xf numFmtId="168" fontId="0" fillId="0" borderId="64" xfId="52" applyNumberFormat="1" applyFont="1" applyBorder="1"/>
    <xf numFmtId="0" fontId="6" fillId="0" borderId="64" xfId="1" applyFont="1" applyFill="1" applyBorder="1"/>
    <xf numFmtId="0" fontId="6" fillId="0" borderId="70" xfId="1" applyFont="1" applyFill="1" applyBorder="1"/>
    <xf numFmtId="167" fontId="0" fillId="0" borderId="70" xfId="7" applyNumberFormat="1" applyFont="1" applyBorder="1"/>
    <xf numFmtId="0" fontId="0" fillId="0" borderId="70" xfId="0" applyBorder="1"/>
    <xf numFmtId="0" fontId="0" fillId="21" borderId="0" xfId="0" applyFill="1" applyBorder="1"/>
    <xf numFmtId="167" fontId="0" fillId="0" borderId="0" xfId="7" applyNumberFormat="1" applyFont="1" applyBorder="1"/>
    <xf numFmtId="167" fontId="0" fillId="0" borderId="70" xfId="0" applyNumberFormat="1" applyBorder="1"/>
    <xf numFmtId="168" fontId="0" fillId="0" borderId="71" xfId="52" applyNumberFormat="1" applyFont="1" applyBorder="1"/>
    <xf numFmtId="0" fontId="85" fillId="21" borderId="0" xfId="0" applyFont="1" applyFill="1" applyAlignment="1">
      <alignment horizontal="center"/>
    </xf>
    <xf numFmtId="167" fontId="8" fillId="12" borderId="19" xfId="55" applyNumberFormat="1" applyFont="1" applyFill="1" applyBorder="1"/>
    <xf numFmtId="0" fontId="8" fillId="10" borderId="17" xfId="47" applyFont="1" applyFill="1" applyBorder="1" applyAlignment="1"/>
    <xf numFmtId="168" fontId="0" fillId="0" borderId="0" xfId="52" applyNumberFormat="1" applyFont="1" applyBorder="1"/>
    <xf numFmtId="0" fontId="0" fillId="0" borderId="0" xfId="0" applyBorder="1"/>
    <xf numFmtId="168" fontId="0" fillId="0" borderId="0" xfId="0" applyNumberFormat="1"/>
    <xf numFmtId="0" fontId="8" fillId="10" borderId="39" xfId="47" applyFont="1" applyFill="1" applyBorder="1"/>
    <xf numFmtId="0" fontId="15" fillId="20" borderId="3" xfId="47" applyFont="1" applyFill="1" applyBorder="1" applyAlignment="1">
      <alignment horizontal="center"/>
    </xf>
    <xf numFmtId="0" fontId="45" fillId="9" borderId="47" xfId="47" applyFont="1" applyFill="1" applyBorder="1" applyAlignment="1">
      <alignment horizontal="center"/>
    </xf>
    <xf numFmtId="0" fontId="21" fillId="61" borderId="3" xfId="47" applyFont="1" applyFill="1" applyBorder="1" applyAlignment="1">
      <alignment horizontal="center"/>
    </xf>
    <xf numFmtId="167" fontId="6" fillId="0" borderId="8" xfId="47" applyNumberFormat="1" applyFont="1" applyFill="1" applyBorder="1" applyAlignment="1"/>
    <xf numFmtId="167" fontId="6" fillId="0" borderId="0" xfId="47" applyNumberFormat="1" applyFont="1" applyFill="1" applyBorder="1" applyAlignment="1"/>
    <xf numFmtId="16" fontId="15" fillId="20" borderId="10" xfId="64" quotePrefix="1" applyNumberFormat="1" applyFont="1" applyFill="1" applyBorder="1" applyAlignment="1">
      <alignment horizontal="center"/>
    </xf>
    <xf numFmtId="0" fontId="15" fillId="20" borderId="10" xfId="64" quotePrefix="1" applyFont="1" applyFill="1" applyBorder="1" applyAlignment="1">
      <alignment horizontal="center"/>
    </xf>
    <xf numFmtId="0" fontId="0" fillId="0" borderId="0" xfId="0"/>
    <xf numFmtId="168" fontId="25" fillId="0" borderId="0" xfId="52" applyNumberFormat="1" applyFont="1"/>
    <xf numFmtId="167" fontId="0" fillId="17" borderId="65" xfId="7" applyNumberFormat="1" applyFont="1" applyFill="1" applyBorder="1"/>
    <xf numFmtId="167" fontId="6" fillId="9" borderId="0" xfId="47" applyNumberFormat="1" applyFont="1" applyFill="1" applyAlignment="1"/>
    <xf numFmtId="167" fontId="6" fillId="62" borderId="40" xfId="55" applyNumberFormat="1" applyFont="1" applyFill="1" applyBorder="1"/>
    <xf numFmtId="171" fontId="6" fillId="18" borderId="11" xfId="47" applyNumberFormat="1" applyFont="1" applyFill="1" applyBorder="1" applyAlignment="1">
      <alignment horizontal="right"/>
    </xf>
    <xf numFmtId="0" fontId="0" fillId="0" borderId="0" xfId="0"/>
    <xf numFmtId="1" fontId="0" fillId="0" borderId="0" xfId="0" applyNumberFormat="1"/>
    <xf numFmtId="0" fontId="6" fillId="10" borderId="0" xfId="47" applyFont="1" applyFill="1" applyBorder="1"/>
    <xf numFmtId="167" fontId="6" fillId="18" borderId="11" xfId="47" applyNumberFormat="1" applyFont="1" applyFill="1" applyBorder="1" applyAlignment="1">
      <alignment horizontal="right"/>
    </xf>
    <xf numFmtId="167" fontId="6" fillId="62" borderId="11" xfId="47" applyNumberFormat="1" applyFont="1" applyFill="1" applyBorder="1" applyAlignment="1">
      <alignment horizontal="right"/>
    </xf>
    <xf numFmtId="167" fontId="8" fillId="12" borderId="12" xfId="47" applyNumberFormat="1" applyFont="1" applyFill="1" applyBorder="1" applyAlignment="1">
      <alignment horizontal="right"/>
    </xf>
    <xf numFmtId="167" fontId="8" fillId="18" borderId="12" xfId="47" applyNumberFormat="1" applyFont="1" applyFill="1" applyBorder="1" applyAlignment="1">
      <alignment horizontal="right"/>
    </xf>
    <xf numFmtId="167" fontId="8" fillId="62" borderId="12" xfId="47" applyNumberFormat="1" applyFont="1" applyFill="1" applyBorder="1" applyAlignment="1">
      <alignment horizontal="right"/>
    </xf>
    <xf numFmtId="167" fontId="6" fillId="12" borderId="18" xfId="47" applyNumberFormat="1" applyFont="1" applyFill="1" applyBorder="1" applyAlignment="1">
      <alignment horizontal="right"/>
    </xf>
    <xf numFmtId="167" fontId="6" fillId="18" borderId="18" xfId="47" applyNumberFormat="1" applyFont="1" applyFill="1" applyBorder="1" applyAlignment="1">
      <alignment horizontal="right"/>
    </xf>
    <xf numFmtId="167" fontId="6" fillId="62" borderId="18" xfId="47" applyNumberFormat="1" applyFont="1" applyFill="1" applyBorder="1" applyAlignment="1">
      <alignment horizontal="right"/>
    </xf>
    <xf numFmtId="167" fontId="8" fillId="12" borderId="11" xfId="47" applyNumberFormat="1" applyFont="1" applyFill="1" applyBorder="1" applyAlignment="1">
      <alignment horizontal="right"/>
    </xf>
    <xf numFmtId="167" fontId="8" fillId="18" borderId="11" xfId="47" applyNumberFormat="1" applyFont="1" applyFill="1" applyBorder="1" applyAlignment="1">
      <alignment horizontal="right"/>
    </xf>
    <xf numFmtId="167" fontId="8" fillId="62" borderId="11" xfId="47" applyNumberFormat="1" applyFont="1" applyFill="1" applyBorder="1" applyAlignment="1">
      <alignment horizontal="right"/>
    </xf>
    <xf numFmtId="167" fontId="6" fillId="12" borderId="12" xfId="47" applyNumberFormat="1" applyFont="1" applyFill="1" applyBorder="1" applyAlignment="1">
      <alignment horizontal="right"/>
    </xf>
    <xf numFmtId="167" fontId="6" fillId="18" borderId="12" xfId="47" applyNumberFormat="1" applyFont="1" applyFill="1" applyBorder="1" applyAlignment="1">
      <alignment horizontal="right"/>
    </xf>
    <xf numFmtId="167" fontId="6" fillId="62" borderId="12" xfId="47" applyNumberFormat="1" applyFont="1" applyFill="1" applyBorder="1" applyAlignment="1">
      <alignment horizontal="right"/>
    </xf>
    <xf numFmtId="167" fontId="8" fillId="12" borderId="18" xfId="47" applyNumberFormat="1" applyFont="1" applyFill="1" applyBorder="1" applyAlignment="1">
      <alignment horizontal="right"/>
    </xf>
    <xf numFmtId="167" fontId="8" fillId="18" borderId="18" xfId="47" applyNumberFormat="1" applyFont="1" applyFill="1" applyBorder="1" applyAlignment="1">
      <alignment horizontal="right"/>
    </xf>
    <xf numFmtId="167" fontId="8" fillId="62" borderId="18" xfId="47" applyNumberFormat="1" applyFont="1" applyFill="1" applyBorder="1" applyAlignment="1">
      <alignment horizontal="right"/>
    </xf>
    <xf numFmtId="167" fontId="86" fillId="12" borderId="11" xfId="47" applyNumberFormat="1" applyFont="1" applyFill="1" applyBorder="1" applyAlignment="1">
      <alignment horizontal="right"/>
    </xf>
    <xf numFmtId="167" fontId="8" fillId="12" borderId="11" xfId="55" applyNumberFormat="1" applyFont="1" applyFill="1" applyBorder="1"/>
    <xf numFmtId="0" fontId="6" fillId="9" borderId="73" xfId="47" applyFont="1" applyFill="1" applyBorder="1" applyAlignment="1"/>
    <xf numFmtId="0" fontId="15" fillId="8" borderId="0" xfId="47" quotePrefix="1" applyFont="1" applyFill="1" applyAlignment="1"/>
    <xf numFmtId="0" fontId="0" fillId="19" borderId="0" xfId="0" applyFill="1"/>
    <xf numFmtId="0" fontId="5" fillId="10" borderId="14" xfId="47" applyFont="1" applyFill="1" applyBorder="1"/>
    <xf numFmtId="3" fontId="16" fillId="0" borderId="0" xfId="59" quotePrefix="1" applyNumberFormat="1" applyFont="1"/>
    <xf numFmtId="3" fontId="16" fillId="0" borderId="0" xfId="59" applyNumberFormat="1" applyFont="1"/>
    <xf numFmtId="3" fontId="19" fillId="11" borderId="74" xfId="59" quotePrefix="1" applyNumberFormat="1" applyFont="1" applyFill="1" applyBorder="1"/>
    <xf numFmtId="3" fontId="19" fillId="11" borderId="75" xfId="59" quotePrefix="1" applyNumberFormat="1" applyFont="1" applyFill="1" applyBorder="1"/>
    <xf numFmtId="3" fontId="48" fillId="11" borderId="72" xfId="59" quotePrefix="1" applyNumberFormat="1" applyFont="1" applyFill="1" applyBorder="1"/>
    <xf numFmtId="3" fontId="48" fillId="11" borderId="76" xfId="59" quotePrefix="1" applyNumberFormat="1" applyFont="1" applyFill="1" applyBorder="1"/>
    <xf numFmtId="3" fontId="16" fillId="0" borderId="0" xfId="59" quotePrefix="1" applyNumberFormat="1" applyFont="1" applyAlignment="1">
      <alignment wrapText="1"/>
    </xf>
    <xf numFmtId="3" fontId="14" fillId="0" borderId="0" xfId="59" quotePrefix="1" applyNumberFormat="1" applyFont="1" applyAlignment="1">
      <alignment wrapText="1"/>
    </xf>
    <xf numFmtId="3" fontId="19" fillId="11" borderId="72" xfId="59" quotePrefix="1" applyNumberFormat="1" applyFont="1" applyFill="1" applyBorder="1" applyAlignment="1">
      <alignment wrapText="1"/>
    </xf>
    <xf numFmtId="3" fontId="19" fillId="11" borderId="76" xfId="59" quotePrefix="1" applyNumberFormat="1" applyFont="1" applyFill="1" applyBorder="1" applyAlignment="1">
      <alignment wrapText="1"/>
    </xf>
    <xf numFmtId="3" fontId="52" fillId="62" borderId="0" xfId="59" quotePrefix="1" applyNumberFormat="1" applyFont="1" applyFill="1"/>
    <xf numFmtId="3" fontId="16" fillId="0" borderId="0" xfId="59" applyNumberFormat="1" applyFont="1" applyAlignment="1">
      <alignment wrapText="1"/>
    </xf>
    <xf numFmtId="3" fontId="18" fillId="0" borderId="0" xfId="59" quotePrefix="1" applyNumberFormat="1" applyFont="1" applyAlignment="1">
      <alignment wrapText="1"/>
    </xf>
    <xf numFmtId="3" fontId="52" fillId="19" borderId="11" xfId="1983" applyNumberFormat="1" applyFont="1" applyFill="1" applyBorder="1" applyAlignment="1">
      <alignment horizontal="right"/>
    </xf>
    <xf numFmtId="3" fontId="52" fillId="19" borderId="11" xfId="1983" quotePrefix="1" applyNumberFormat="1" applyFont="1" applyFill="1" applyBorder="1" applyAlignment="1">
      <alignment horizontal="right"/>
    </xf>
    <xf numFmtId="3" fontId="5" fillId="0" borderId="0" xfId="59" quotePrefix="1" applyNumberFormat="1" applyFont="1" applyFill="1" applyBorder="1"/>
    <xf numFmtId="3" fontId="52" fillId="0" borderId="0" xfId="59" applyNumberFormat="1" applyFont="1" applyFill="1"/>
    <xf numFmtId="3" fontId="52" fillId="0" borderId="0" xfId="59" applyNumberFormat="1" applyFont="1"/>
    <xf numFmtId="3" fontId="52" fillId="0" borderId="0" xfId="59" quotePrefix="1" applyNumberFormat="1" applyFont="1"/>
    <xf numFmtId="3" fontId="87" fillId="62" borderId="0" xfId="59" quotePrefix="1" applyNumberFormat="1" applyFont="1" applyFill="1"/>
    <xf numFmtId="3" fontId="87" fillId="19" borderId="11" xfId="1983" applyNumberFormat="1" applyFont="1" applyFill="1" applyBorder="1" applyAlignment="1">
      <alignment horizontal="right"/>
    </xf>
    <xf numFmtId="3" fontId="87" fillId="19" borderId="11" xfId="1983" quotePrefix="1" applyNumberFormat="1" applyFont="1" applyFill="1" applyBorder="1" applyAlignment="1">
      <alignment horizontal="right"/>
    </xf>
    <xf numFmtId="3" fontId="16" fillId="0" borderId="11" xfId="1983" quotePrefix="1" applyNumberFormat="1" applyFont="1" applyFill="1" applyBorder="1" applyAlignment="1">
      <alignment horizontal="right"/>
    </xf>
    <xf numFmtId="3" fontId="16" fillId="0" borderId="11" xfId="1983" quotePrefix="1" applyNumberFormat="1" applyFont="1" applyBorder="1" applyAlignment="1">
      <alignment horizontal="right"/>
    </xf>
    <xf numFmtId="3" fontId="16" fillId="62" borderId="0" xfId="59" quotePrefix="1" applyNumberFormat="1" applyFont="1" applyFill="1"/>
    <xf numFmtId="3" fontId="16" fillId="0" borderId="11" xfId="1983" applyNumberFormat="1" applyFont="1" applyFill="1" applyBorder="1" applyAlignment="1">
      <alignment horizontal="right"/>
    </xf>
    <xf numFmtId="3" fontId="18" fillId="15" borderId="0" xfId="59" quotePrefix="1" applyNumberFormat="1" applyFont="1" applyFill="1" applyAlignment="1">
      <alignment wrapText="1"/>
    </xf>
    <xf numFmtId="3" fontId="18" fillId="15" borderId="11" xfId="1983" applyNumberFormat="1" applyFont="1" applyFill="1" applyBorder="1" applyAlignment="1">
      <alignment horizontal="right"/>
    </xf>
    <xf numFmtId="3" fontId="18" fillId="0" borderId="0" xfId="59" quotePrefix="1" applyNumberFormat="1" applyFont="1"/>
    <xf numFmtId="3" fontId="18" fillId="0" borderId="0" xfId="59" applyNumberFormat="1" applyFont="1" applyAlignment="1">
      <alignment wrapText="1"/>
    </xf>
    <xf numFmtId="3" fontId="18" fillId="19" borderId="0" xfId="59" quotePrefix="1" applyNumberFormat="1" applyFont="1" applyFill="1" applyAlignment="1">
      <alignment wrapText="1"/>
    </xf>
    <xf numFmtId="3" fontId="18" fillId="19" borderId="11" xfId="1983" applyNumberFormat="1" applyFont="1" applyFill="1" applyBorder="1" applyAlignment="1">
      <alignment horizontal="right"/>
    </xf>
    <xf numFmtId="3" fontId="18" fillId="19" borderId="0" xfId="59" quotePrefix="1" applyNumberFormat="1" applyFont="1" applyFill="1"/>
    <xf numFmtId="3" fontId="18" fillId="19" borderId="0" xfId="59" applyNumberFormat="1" applyFont="1" applyFill="1" applyAlignment="1">
      <alignment wrapText="1"/>
    </xf>
    <xf numFmtId="3" fontId="5" fillId="0" borderId="0" xfId="59" quotePrefix="1" applyNumberFormat="1" applyFont="1" applyFill="1" applyBorder="1" applyAlignment="1">
      <alignment horizontal="left"/>
    </xf>
    <xf numFmtId="3" fontId="88" fillId="21" borderId="0" xfId="59" quotePrefix="1" applyNumberFormat="1" applyFont="1" applyFill="1"/>
    <xf numFmtId="164" fontId="6" fillId="12" borderId="11" xfId="47" applyNumberFormat="1" applyFont="1" applyFill="1" applyBorder="1" applyAlignment="1">
      <alignment horizontal="right"/>
    </xf>
    <xf numFmtId="164" fontId="6" fillId="18" borderId="11" xfId="47" applyNumberFormat="1" applyFont="1" applyFill="1" applyBorder="1" applyAlignment="1">
      <alignment horizontal="right"/>
    </xf>
    <xf numFmtId="164" fontId="6" fillId="12" borderId="12" xfId="47" applyNumberFormat="1" applyFont="1" applyFill="1" applyBorder="1" applyAlignment="1">
      <alignment horizontal="right"/>
    </xf>
    <xf numFmtId="164" fontId="6" fillId="18" borderId="12" xfId="47" applyNumberFormat="1" applyFont="1" applyFill="1" applyBorder="1" applyAlignment="1">
      <alignment horizontal="right"/>
    </xf>
    <xf numFmtId="167" fontId="86" fillId="12" borderId="40" xfId="47" applyNumberFormat="1" applyFont="1" applyFill="1" applyBorder="1" applyAlignment="1">
      <alignment horizontal="right"/>
    </xf>
    <xf numFmtId="167" fontId="6" fillId="63" borderId="11" xfId="47" applyNumberFormat="1" applyFont="1" applyFill="1" applyBorder="1" applyAlignment="1"/>
    <xf numFmtId="173" fontId="6" fillId="63" borderId="11" xfId="47" applyNumberFormat="1" applyFont="1" applyFill="1" applyBorder="1" applyAlignment="1">
      <alignment horizontal="right"/>
    </xf>
    <xf numFmtId="167" fontId="8" fillId="63" borderId="18" xfId="47" applyNumberFormat="1" applyFont="1" applyFill="1" applyBorder="1" applyAlignment="1"/>
    <xf numFmtId="167" fontId="8" fillId="63" borderId="11" xfId="47" applyNumberFormat="1" applyFont="1" applyFill="1" applyBorder="1" applyAlignment="1"/>
    <xf numFmtId="167" fontId="6" fillId="63" borderId="18" xfId="47" applyNumberFormat="1" applyFont="1" applyFill="1" applyBorder="1" applyAlignment="1"/>
    <xf numFmtId="167" fontId="8" fillId="63" borderId="11" xfId="7" applyNumberFormat="1" applyFont="1" applyFill="1" applyBorder="1" applyAlignment="1">
      <alignment horizontal="right"/>
    </xf>
    <xf numFmtId="167" fontId="8" fillId="63" borderId="11" xfId="7" quotePrefix="1" applyNumberFormat="1" applyFont="1" applyFill="1" applyBorder="1" applyAlignment="1">
      <alignment horizontal="right"/>
    </xf>
    <xf numFmtId="167" fontId="6" fillId="63" borderId="11" xfId="7" applyNumberFormat="1" applyFont="1" applyFill="1" applyBorder="1" applyAlignment="1">
      <alignment horizontal="right"/>
    </xf>
    <xf numFmtId="167" fontId="6" fillId="63" borderId="11" xfId="7" quotePrefix="1" applyNumberFormat="1" applyFont="1" applyFill="1" applyBorder="1" applyAlignment="1">
      <alignment horizontal="right"/>
    </xf>
    <xf numFmtId="167" fontId="8" fillId="63" borderId="18" xfId="7" applyNumberFormat="1" applyFont="1" applyFill="1" applyBorder="1" applyAlignment="1"/>
    <xf numFmtId="1" fontId="6" fillId="63" borderId="11" xfId="47" applyNumberFormat="1" applyFont="1" applyFill="1" applyBorder="1" applyAlignment="1">
      <alignment horizontal="right"/>
    </xf>
    <xf numFmtId="174" fontId="6" fillId="63" borderId="11" xfId="52" applyNumberFormat="1" applyFont="1" applyFill="1" applyBorder="1" applyAlignment="1">
      <alignment horizontal="right"/>
    </xf>
    <xf numFmtId="1" fontId="6" fillId="63" borderId="11" xfId="52" applyNumberFormat="1" applyFont="1" applyFill="1" applyBorder="1" applyAlignment="1">
      <alignment horizontal="right"/>
    </xf>
    <xf numFmtId="1" fontId="6" fillId="63" borderId="11" xfId="47" quotePrefix="1" applyNumberFormat="1" applyFont="1" applyFill="1" applyBorder="1" applyAlignment="1">
      <alignment horizontal="right"/>
    </xf>
    <xf numFmtId="164" fontId="6" fillId="63" borderId="11" xfId="7" quotePrefix="1" applyFont="1" applyFill="1" applyBorder="1" applyAlignment="1">
      <alignment horizontal="right"/>
    </xf>
    <xf numFmtId="167" fontId="6" fillId="63" borderId="12" xfId="7" applyNumberFormat="1" applyFont="1" applyFill="1" applyBorder="1" applyAlignment="1"/>
    <xf numFmtId="167" fontId="6" fillId="63" borderId="11" xfId="7" applyNumberFormat="1" applyFont="1" applyFill="1" applyBorder="1" applyAlignment="1"/>
    <xf numFmtId="167" fontId="6" fillId="63" borderId="11" xfId="7" quotePrefix="1" applyNumberFormat="1" applyFont="1" applyFill="1" applyBorder="1" applyAlignment="1"/>
    <xf numFmtId="173" fontId="6" fillId="63" borderId="11" xfId="47" quotePrefix="1" applyNumberFormat="1" applyFont="1" applyFill="1" applyBorder="1" applyAlignment="1">
      <alignment horizontal="right"/>
    </xf>
    <xf numFmtId="173" fontId="6" fillId="63" borderId="12" xfId="47" applyNumberFormat="1" applyFont="1" applyFill="1" applyBorder="1" applyAlignment="1">
      <alignment horizontal="right"/>
    </xf>
    <xf numFmtId="175" fontId="6" fillId="63" borderId="11" xfId="7" applyNumberFormat="1" applyFont="1" applyFill="1" applyBorder="1" applyAlignment="1"/>
    <xf numFmtId="167" fontId="6" fillId="63" borderId="11" xfId="47" applyNumberFormat="1" applyFont="1" applyFill="1" applyBorder="1"/>
    <xf numFmtId="176" fontId="6" fillId="63" borderId="12" xfId="7" applyNumberFormat="1" applyFont="1" applyFill="1" applyBorder="1" applyAlignment="1"/>
    <xf numFmtId="0" fontId="5" fillId="0" borderId="0" xfId="0" quotePrefix="1" applyFont="1"/>
    <xf numFmtId="0" fontId="15" fillId="20" borderId="3" xfId="47" applyFont="1" applyFill="1" applyBorder="1" applyAlignment="1">
      <alignment horizontal="center"/>
    </xf>
    <xf numFmtId="167" fontId="6" fillId="12" borderId="12" xfId="54" applyNumberFormat="1" applyFont="1" applyFill="1" applyBorder="1"/>
    <xf numFmtId="167" fontId="6" fillId="18" borderId="12" xfId="54" applyNumberFormat="1" applyFont="1" applyFill="1" applyBorder="1"/>
    <xf numFmtId="167" fontId="6" fillId="62" borderId="12" xfId="54" applyNumberFormat="1" applyFont="1" applyFill="1" applyBorder="1"/>
    <xf numFmtId="167" fontId="8" fillId="63" borderId="12" xfId="47" applyNumberFormat="1" applyFont="1" applyFill="1" applyBorder="1" applyAlignment="1"/>
    <xf numFmtId="0" fontId="8" fillId="10" borderId="12" xfId="47" quotePrefix="1" applyFont="1" applyFill="1" applyBorder="1"/>
    <xf numFmtId="167" fontId="6" fillId="63" borderId="40" xfId="47" applyNumberFormat="1" applyFont="1" applyFill="1" applyBorder="1" applyAlignment="1"/>
    <xf numFmtId="0" fontId="13" fillId="10" borderId="14" xfId="47" applyFont="1" applyFill="1" applyBorder="1" applyAlignment="1"/>
    <xf numFmtId="179" fontId="25" fillId="0" borderId="0" xfId="50" applyNumberFormat="1"/>
    <xf numFmtId="0" fontId="6" fillId="10" borderId="15" xfId="47" applyFont="1" applyFill="1" applyBorder="1"/>
    <xf numFmtId="171" fontId="6" fillId="12" borderId="12" xfId="47" applyNumberFormat="1" applyFont="1" applyFill="1" applyBorder="1"/>
    <xf numFmtId="171" fontId="6" fillId="18" borderId="12" xfId="47" applyNumberFormat="1" applyFont="1" applyFill="1" applyBorder="1"/>
    <xf numFmtId="171" fontId="6" fillId="62" borderId="12" xfId="47" applyNumberFormat="1" applyFont="1" applyFill="1" applyBorder="1"/>
    <xf numFmtId="167" fontId="86" fillId="12" borderId="12" xfId="47" applyNumberFormat="1" applyFont="1" applyFill="1" applyBorder="1" applyAlignment="1">
      <alignment horizontal="right"/>
    </xf>
    <xf numFmtId="0" fontId="12" fillId="0" borderId="0" xfId="1" applyNumberFormat="1" applyFont="1" applyProtection="1">
      <protection locked="0"/>
    </xf>
    <xf numFmtId="0" fontId="0" fillId="0" borderId="0" xfId="0" applyNumberFormat="1"/>
    <xf numFmtId="0" fontId="15" fillId="8" borderId="0" xfId="47" applyNumberFormat="1" applyFont="1" applyFill="1" applyAlignment="1"/>
    <xf numFmtId="0" fontId="6" fillId="9" borderId="0" xfId="47" applyNumberFormat="1" applyFont="1" applyFill="1" applyAlignment="1"/>
    <xf numFmtId="0" fontId="8" fillId="10" borderId="9" xfId="47" applyNumberFormat="1" applyFont="1" applyFill="1" applyBorder="1" applyAlignment="1"/>
    <xf numFmtId="0" fontId="8" fillId="10" borderId="10" xfId="47" applyNumberFormat="1" applyFont="1" applyFill="1" applyBorder="1" applyAlignment="1"/>
    <xf numFmtId="0" fontId="15" fillId="11" borderId="10" xfId="47" applyNumberFormat="1" applyFont="1" applyFill="1" applyBorder="1" applyAlignment="1">
      <alignment horizontal="center" vertical="top"/>
    </xf>
    <xf numFmtId="0" fontId="15" fillId="61" borderId="10" xfId="47" applyNumberFormat="1" applyFont="1" applyFill="1" applyBorder="1" applyAlignment="1">
      <alignment horizontal="center" vertical="top"/>
    </xf>
    <xf numFmtId="0" fontId="15" fillId="20" borderId="10" xfId="47" applyNumberFormat="1" applyFont="1" applyFill="1" applyBorder="1" applyAlignment="1">
      <alignment horizontal="center" vertical="top"/>
    </xf>
    <xf numFmtId="0" fontId="8" fillId="10" borderId="11" xfId="47" applyNumberFormat="1" applyFont="1" applyFill="1" applyBorder="1" applyAlignment="1"/>
    <xf numFmtId="0" fontId="8" fillId="10" borderId="11" xfId="47" applyNumberFormat="1" applyFont="1" applyFill="1" applyBorder="1" applyAlignment="1">
      <alignment horizontal="left" indent="2"/>
    </xf>
    <xf numFmtId="0" fontId="6" fillId="10" borderId="11" xfId="47" applyNumberFormat="1" applyFont="1" applyFill="1" applyBorder="1" applyAlignment="1">
      <alignment horizontal="left" indent="2"/>
    </xf>
    <xf numFmtId="0" fontId="6" fillId="10" borderId="11" xfId="47" quotePrefix="1" applyNumberFormat="1" applyFont="1" applyFill="1" applyBorder="1" applyAlignment="1">
      <alignment horizontal="left" indent="2"/>
    </xf>
    <xf numFmtId="0" fontId="6" fillId="10" borderId="14" xfId="47" quotePrefix="1" applyNumberFormat="1" applyFont="1" applyFill="1" applyBorder="1" applyAlignment="1">
      <alignment horizontal="left" indent="2"/>
    </xf>
    <xf numFmtId="0" fontId="6" fillId="10" borderId="14" xfId="47" applyNumberFormat="1" applyFont="1" applyFill="1" applyBorder="1" applyAlignment="1">
      <alignment horizontal="left" indent="2"/>
    </xf>
    <xf numFmtId="0" fontId="6" fillId="10" borderId="62" xfId="47" quotePrefix="1" applyNumberFormat="1" applyFont="1" applyFill="1" applyBorder="1" applyAlignment="1">
      <alignment horizontal="left" indent="2"/>
    </xf>
    <xf numFmtId="0" fontId="6" fillId="10" borderId="66" xfId="47" quotePrefix="1" applyNumberFormat="1" applyFont="1" applyFill="1" applyBorder="1" applyAlignment="1">
      <alignment horizontal="left" indent="2"/>
    </xf>
    <xf numFmtId="0" fontId="6" fillId="10" borderId="14" xfId="47" applyNumberFormat="1" applyFont="1" applyFill="1" applyBorder="1"/>
    <xf numFmtId="0" fontId="6" fillId="10" borderId="66" xfId="47" applyNumberFormat="1" applyFont="1" applyFill="1" applyBorder="1"/>
    <xf numFmtId="0" fontId="6" fillId="10" borderId="11" xfId="47" applyNumberFormat="1" applyFont="1" applyFill="1" applyBorder="1" applyAlignment="1"/>
    <xf numFmtId="0" fontId="8" fillId="10" borderId="67" xfId="47" applyNumberFormat="1" applyFont="1" applyFill="1" applyBorder="1" applyAlignment="1"/>
    <xf numFmtId="0" fontId="6" fillId="10" borderId="62" xfId="47" applyNumberFormat="1" applyFont="1" applyFill="1" applyBorder="1" applyAlignment="1"/>
    <xf numFmtId="0" fontId="6" fillId="10" borderId="12" xfId="47" applyNumberFormat="1" applyFont="1" applyFill="1" applyBorder="1" applyAlignment="1"/>
    <xf numFmtId="0" fontId="6" fillId="10" borderId="12" xfId="47" applyNumberFormat="1" applyFont="1" applyFill="1" applyBorder="1" applyAlignment="1">
      <alignment horizontal="left" indent="2"/>
    </xf>
    <xf numFmtId="0" fontId="5" fillId="0" borderId="0" xfId="1" applyNumberFormat="1" applyFont="1" applyProtection="1">
      <protection locked="0"/>
    </xf>
    <xf numFmtId="0" fontId="20" fillId="0" borderId="0" xfId="64" applyFont="1"/>
    <xf numFmtId="0" fontId="20" fillId="0" borderId="0" xfId="64" applyFont="1" applyAlignment="1">
      <alignment horizontal="center"/>
    </xf>
    <xf numFmtId="0" fontId="15" fillId="8" borderId="20" xfId="64" applyFont="1" applyFill="1" applyBorder="1" applyAlignment="1"/>
    <xf numFmtId="0" fontId="15" fillId="8" borderId="0" xfId="64" applyFont="1" applyFill="1" applyAlignment="1"/>
    <xf numFmtId="0" fontId="6" fillId="9" borderId="0" xfId="64" applyFont="1" applyFill="1" applyAlignment="1"/>
    <xf numFmtId="0" fontId="8" fillId="10" borderId="21" xfId="64" applyFont="1" applyFill="1" applyBorder="1" applyAlignment="1"/>
    <xf numFmtId="0" fontId="11" fillId="10" borderId="22" xfId="64" applyFont="1" applyFill="1" applyBorder="1" applyAlignment="1">
      <alignment horizontal="center"/>
    </xf>
    <xf numFmtId="0" fontId="11" fillId="10" borderId="23" xfId="64" applyFont="1" applyFill="1" applyBorder="1" applyAlignment="1"/>
    <xf numFmtId="0" fontId="11" fillId="10" borderId="24" xfId="64" applyFont="1" applyFill="1" applyBorder="1" applyAlignment="1">
      <alignment horizontal="center"/>
    </xf>
    <xf numFmtId="16" fontId="17" fillId="0" borderId="0" xfId="64" applyNumberFormat="1" applyFont="1"/>
    <xf numFmtId="0" fontId="6" fillId="10" borderId="14" xfId="64" applyFont="1" applyFill="1" applyBorder="1" applyAlignment="1"/>
    <xf numFmtId="0" fontId="6" fillId="10" borderId="68" xfId="64" applyFont="1" applyFill="1" applyBorder="1" applyAlignment="1">
      <alignment horizontal="center"/>
    </xf>
    <xf numFmtId="171" fontId="17" fillId="0" borderId="0" xfId="64" applyNumberFormat="1" applyFont="1" applyFill="1"/>
    <xf numFmtId="0" fontId="6" fillId="10" borderId="69" xfId="64" applyFont="1" applyFill="1" applyBorder="1" applyAlignment="1">
      <alignment horizontal="center"/>
    </xf>
    <xf numFmtId="1" fontId="20" fillId="0" borderId="0" xfId="64" applyNumberFormat="1" applyFont="1" applyFill="1"/>
    <xf numFmtId="171" fontId="20" fillId="0" borderId="0" xfId="64" applyNumberFormat="1" applyFont="1" applyFill="1"/>
    <xf numFmtId="171" fontId="20" fillId="0" borderId="0" xfId="64" applyNumberFormat="1" applyFont="1"/>
    <xf numFmtId="0" fontId="6" fillId="10" borderId="17" xfId="64" applyFont="1" applyFill="1" applyBorder="1" applyAlignment="1"/>
    <xf numFmtId="0" fontId="6" fillId="10" borderId="77" xfId="64" applyFont="1" applyFill="1" applyBorder="1" applyAlignment="1">
      <alignment horizontal="center"/>
    </xf>
    <xf numFmtId="171" fontId="20" fillId="0" borderId="0" xfId="64" applyNumberFormat="1" applyFont="1" applyAlignment="1">
      <alignment horizontal="center"/>
    </xf>
    <xf numFmtId="0" fontId="22" fillId="19" borderId="14" xfId="47" quotePrefix="1" applyFont="1" applyFill="1" applyBorder="1"/>
    <xf numFmtId="0" fontId="22" fillId="0" borderId="0" xfId="59" applyFont="1"/>
    <xf numFmtId="0" fontId="13" fillId="10" borderId="11" xfId="47" applyFont="1" applyFill="1" applyBorder="1" applyAlignment="1">
      <alignment vertical="center"/>
    </xf>
    <xf numFmtId="0" fontId="8" fillId="10" borderId="18" xfId="47" applyFont="1" applyFill="1" applyBorder="1" applyAlignment="1">
      <alignment vertical="center"/>
    </xf>
    <xf numFmtId="0" fontId="13" fillId="10" borderId="14" xfId="47" applyFont="1" applyFill="1" applyBorder="1" applyAlignment="1">
      <alignment vertical="center"/>
    </xf>
    <xf numFmtId="0" fontId="84" fillId="10" borderId="11" xfId="47" applyFont="1" applyFill="1" applyBorder="1" applyAlignment="1">
      <alignment vertical="center"/>
    </xf>
    <xf numFmtId="167" fontId="6" fillId="10" borderId="11" xfId="55" applyNumberFormat="1" applyFont="1" applyFill="1" applyBorder="1" applyAlignment="1">
      <alignment vertical="center"/>
    </xf>
    <xf numFmtId="0" fontId="22" fillId="0" borderId="0" xfId="1" quotePrefix="1" applyFont="1" applyFill="1" applyBorder="1"/>
    <xf numFmtId="0" fontId="8" fillId="10" borderId="15" xfId="47" applyFont="1" applyFill="1" applyBorder="1" applyAlignment="1">
      <alignment vertical="center"/>
    </xf>
    <xf numFmtId="0" fontId="22" fillId="19" borderId="14" xfId="47" applyFont="1" applyFill="1" applyBorder="1"/>
    <xf numFmtId="0" fontId="89" fillId="0" borderId="0" xfId="48" applyFont="1" applyBorder="1" applyAlignment="1">
      <alignment vertical="center"/>
    </xf>
    <xf numFmtId="0" fontId="13" fillId="10" borderId="12" xfId="47" applyFont="1" applyFill="1" applyBorder="1" applyAlignment="1">
      <alignment vertical="center"/>
    </xf>
    <xf numFmtId="0" fontId="6" fillId="10" borderId="13" xfId="47" applyFont="1" applyFill="1" applyBorder="1" applyAlignment="1">
      <alignment vertical="center"/>
    </xf>
    <xf numFmtId="0" fontId="6" fillId="10" borderId="17" xfId="47" applyFont="1" applyFill="1" applyBorder="1" applyAlignment="1">
      <alignment vertical="center"/>
    </xf>
    <xf numFmtId="0" fontId="6" fillId="10" borderId="14" xfId="47" applyFont="1" applyFill="1" applyBorder="1" applyAlignment="1">
      <alignment wrapText="1"/>
    </xf>
    <xf numFmtId="0" fontId="6" fillId="10" borderId="14" xfId="47" quotePrefix="1" applyNumberFormat="1" applyFont="1" applyFill="1" applyBorder="1" applyAlignment="1">
      <alignment horizontal="left"/>
    </xf>
    <xf numFmtId="167" fontId="0" fillId="0" borderId="0" xfId="1" applyNumberFormat="1" applyFont="1" applyFill="1"/>
    <xf numFmtId="2" fontId="0" fillId="0" borderId="0" xfId="0" applyNumberFormat="1"/>
    <xf numFmtId="0" fontId="8" fillId="13" borderId="26" xfId="1" applyFont="1" applyFill="1" applyBorder="1" applyAlignment="1" applyProtection="1">
      <alignment horizontal="center"/>
      <protection locked="0"/>
    </xf>
    <xf numFmtId="0" fontId="8" fillId="0" borderId="26" xfId="64" applyFont="1" applyFill="1" applyBorder="1" applyAlignment="1" applyProtection="1">
      <alignment horizontal="center"/>
      <protection locked="0"/>
    </xf>
    <xf numFmtId="0" fontId="8" fillId="13" borderId="26" xfId="64" applyFont="1" applyFill="1" applyBorder="1" applyAlignment="1" applyProtection="1">
      <alignment horizontal="center"/>
      <protection locked="0"/>
    </xf>
    <xf numFmtId="0" fontId="15" fillId="11" borderId="3" xfId="47" applyFont="1" applyFill="1" applyBorder="1" applyAlignment="1">
      <alignment horizontal="center"/>
    </xf>
    <xf numFmtId="0" fontId="15" fillId="11" borderId="4" xfId="47" applyFont="1" applyFill="1" applyBorder="1" applyAlignment="1">
      <alignment horizontal="center"/>
    </xf>
    <xf numFmtId="0" fontId="15" fillId="11" borderId="46" xfId="47" applyFont="1" applyFill="1" applyBorder="1" applyAlignment="1">
      <alignment horizontal="center"/>
    </xf>
    <xf numFmtId="0" fontId="15" fillId="61" borderId="3" xfId="47" applyFont="1" applyFill="1" applyBorder="1" applyAlignment="1">
      <alignment horizontal="center"/>
    </xf>
    <xf numFmtId="0" fontId="15" fillId="61" borderId="4" xfId="47" applyFont="1" applyFill="1" applyBorder="1" applyAlignment="1">
      <alignment horizontal="center"/>
    </xf>
    <xf numFmtId="0" fontId="15" fillId="61" borderId="46" xfId="47" applyFont="1" applyFill="1" applyBorder="1" applyAlignment="1">
      <alignment horizontal="center"/>
    </xf>
    <xf numFmtId="0" fontId="15" fillId="20" borderId="3" xfId="47" applyFont="1" applyFill="1" applyBorder="1" applyAlignment="1">
      <alignment horizontal="center"/>
    </xf>
    <xf numFmtId="0" fontId="15" fillId="20" borderId="4" xfId="47" applyFont="1" applyFill="1" applyBorder="1" applyAlignment="1">
      <alignment horizontal="center"/>
    </xf>
    <xf numFmtId="0" fontId="22" fillId="0" borderId="32" xfId="47" quotePrefix="1" applyFont="1" applyFill="1" applyBorder="1" applyAlignment="1">
      <alignment horizontal="left" wrapText="1"/>
    </xf>
    <xf numFmtId="0" fontId="22" fillId="0" borderId="8" xfId="47" quotePrefix="1" applyFont="1" applyFill="1" applyBorder="1" applyAlignment="1">
      <alignment horizontal="left" wrapText="1"/>
    </xf>
    <xf numFmtId="0" fontId="15" fillId="11" borderId="3" xfId="47" applyNumberFormat="1" applyFont="1" applyFill="1" applyBorder="1" applyAlignment="1">
      <alignment horizontal="center" vertical="top"/>
    </xf>
    <xf numFmtId="0" fontId="15" fillId="11" borderId="4" xfId="47" applyNumberFormat="1" applyFont="1" applyFill="1" applyBorder="1" applyAlignment="1">
      <alignment horizontal="center" vertical="top"/>
    </xf>
    <xf numFmtId="0" fontId="15" fillId="11" borderId="46" xfId="47" applyNumberFormat="1" applyFont="1" applyFill="1" applyBorder="1" applyAlignment="1">
      <alignment horizontal="center" vertical="top"/>
    </xf>
    <xf numFmtId="0" fontId="15" fillId="61" borderId="3" xfId="47" applyNumberFormat="1" applyFont="1" applyFill="1" applyBorder="1" applyAlignment="1">
      <alignment horizontal="center" vertical="top"/>
    </xf>
    <xf numFmtId="0" fontId="15" fillId="61" borderId="4" xfId="47" applyNumberFormat="1" applyFont="1" applyFill="1" applyBorder="1" applyAlignment="1">
      <alignment horizontal="center" vertical="top"/>
    </xf>
    <xf numFmtId="0" fontId="15" fillId="61" borderId="46" xfId="47" applyNumberFormat="1" applyFont="1" applyFill="1" applyBorder="1" applyAlignment="1">
      <alignment horizontal="center" vertical="top"/>
    </xf>
    <xf numFmtId="0" fontId="15" fillId="20" borderId="3" xfId="47" applyNumberFormat="1" applyFont="1" applyFill="1" applyBorder="1" applyAlignment="1">
      <alignment horizontal="center" vertical="top"/>
    </xf>
    <xf numFmtId="0" fontId="15" fillId="20" borderId="4" xfId="47" applyNumberFormat="1" applyFont="1" applyFill="1" applyBorder="1" applyAlignment="1">
      <alignment horizontal="center" vertical="top"/>
    </xf>
  </cellXfs>
  <cellStyles count="1989">
    <cellStyle name="%" xfId="1"/>
    <cellStyle name="% 2" xfId="64"/>
    <cellStyle name="_Kyivstar grunnlag Q407~1" xfId="2"/>
    <cellStyle name="_Minority Interest and EV" xfId="3"/>
    <cellStyle name="_Q407-pack_draft" xfId="4"/>
    <cellStyle name="20% - Accent1 10" xfId="69"/>
    <cellStyle name="20% - Accent1 10 2" xfId="625"/>
    <cellStyle name="20% - Accent1 10 2 2" xfId="1103"/>
    <cellStyle name="20% - Accent1 10 2 2 2" xfId="1544"/>
    <cellStyle name="20% - Accent1 10 2 3" xfId="1385"/>
    <cellStyle name="20% - Accent1 10 2 4" xfId="944"/>
    <cellStyle name="20% - Accent1 10 2 5" xfId="1864"/>
    <cellStyle name="20% - Accent1 10 3" xfId="651"/>
    <cellStyle name="20% - Accent1 10 3 2" xfId="1115"/>
    <cellStyle name="20% - Accent1 10 3 2 2" xfId="1556"/>
    <cellStyle name="20% - Accent1 10 3 3" xfId="1397"/>
    <cellStyle name="20% - Accent1 10 3 4" xfId="956"/>
    <cellStyle name="20% - Accent1 10 3 5" xfId="1876"/>
    <cellStyle name="20% - Accent1 10 4" xfId="1063"/>
    <cellStyle name="20% - Accent1 10 4 2" xfId="1504"/>
    <cellStyle name="20% - Accent1 10 5" xfId="1345"/>
    <cellStyle name="20% - Accent1 10 6" xfId="904"/>
    <cellStyle name="20% - Accent1 10 7" xfId="1824"/>
    <cellStyle name="20% - Accent1 11" xfId="600"/>
    <cellStyle name="20% - Accent1 11 2" xfId="721"/>
    <cellStyle name="20% - Accent1 11 2 2" xfId="1120"/>
    <cellStyle name="20% - Accent1 11 2 2 2" xfId="1561"/>
    <cellStyle name="20% - Accent1 11 2 3" xfId="1402"/>
    <cellStyle name="20% - Accent1 11 2 4" xfId="961"/>
    <cellStyle name="20% - Accent1 11 2 5" xfId="1881"/>
    <cellStyle name="20% - Accent1 11 3" xfId="864"/>
    <cellStyle name="20% - Accent1 11 3 2" xfId="1184"/>
    <cellStyle name="20% - Accent1 11 3 2 2" xfId="1625"/>
    <cellStyle name="20% - Accent1 11 3 3" xfId="1466"/>
    <cellStyle name="20% - Accent1 11 3 4" xfId="1025"/>
    <cellStyle name="20% - Accent1 11 3 5" xfId="1945"/>
    <cellStyle name="20% - Accent1 11 4" xfId="1078"/>
    <cellStyle name="20% - Accent1 11 4 2" xfId="1519"/>
    <cellStyle name="20% - Accent1 11 5" xfId="1360"/>
    <cellStyle name="20% - Accent1 11 6" xfId="919"/>
    <cellStyle name="20% - Accent1 11 7" xfId="1839"/>
    <cellStyle name="20% - Accent1 12" xfId="613"/>
    <cellStyle name="20% - Accent1 12 2" xfId="734"/>
    <cellStyle name="20% - Accent1 12 2 2" xfId="1133"/>
    <cellStyle name="20% - Accent1 12 2 2 2" xfId="1574"/>
    <cellStyle name="20% - Accent1 12 2 3" xfId="1415"/>
    <cellStyle name="20% - Accent1 12 2 4" xfId="974"/>
    <cellStyle name="20% - Accent1 12 2 5" xfId="1894"/>
    <cellStyle name="20% - Accent1 12 3" xfId="877"/>
    <cellStyle name="20% - Accent1 12 3 2" xfId="1197"/>
    <cellStyle name="20% - Accent1 12 3 2 2" xfId="1638"/>
    <cellStyle name="20% - Accent1 12 3 3" xfId="1479"/>
    <cellStyle name="20% - Accent1 12 3 4" xfId="1038"/>
    <cellStyle name="20% - Accent1 12 3 5" xfId="1958"/>
    <cellStyle name="20% - Accent1 12 4" xfId="1091"/>
    <cellStyle name="20% - Accent1 12 4 2" xfId="1532"/>
    <cellStyle name="20% - Accent1 12 5" xfId="1373"/>
    <cellStyle name="20% - Accent1 12 6" xfId="932"/>
    <cellStyle name="20% - Accent1 12 7" xfId="1852"/>
    <cellStyle name="20% - Accent1 13" xfId="747"/>
    <cellStyle name="20% - Accent1 13 2" xfId="890"/>
    <cellStyle name="20% - Accent1 13 2 2" xfId="1210"/>
    <cellStyle name="20% - Accent1 13 2 2 2" xfId="1651"/>
    <cellStyle name="20% - Accent1 13 2 3" xfId="1492"/>
    <cellStyle name="20% - Accent1 13 2 4" xfId="1051"/>
    <cellStyle name="20% - Accent1 13 2 5" xfId="1971"/>
    <cellStyle name="20% - Accent1 13 3" xfId="1146"/>
    <cellStyle name="20% - Accent1 13 3 2" xfId="1587"/>
    <cellStyle name="20% - Accent1 13 4" xfId="1428"/>
    <cellStyle name="20% - Accent1 13 5" xfId="987"/>
    <cellStyle name="20% - Accent1 13 6" xfId="1907"/>
    <cellStyle name="20% - Accent1 14" xfId="760"/>
    <cellStyle name="20% - Accent1 14 2" xfId="1159"/>
    <cellStyle name="20% - Accent1 14 2 2" xfId="1600"/>
    <cellStyle name="20% - Accent1 14 3" xfId="1441"/>
    <cellStyle name="20% - Accent1 14 4" xfId="1000"/>
    <cellStyle name="20% - Accent1 14 5" xfId="1920"/>
    <cellStyle name="20% - Accent1 15" xfId="68"/>
    <cellStyle name="20% - Accent1 15 2" xfId="1664"/>
    <cellStyle name="20% - Accent1 15 3" xfId="1223"/>
    <cellStyle name="20% - Accent1 16" xfId="1236"/>
    <cellStyle name="20% - Accent1 16 2" xfId="1676"/>
    <cellStyle name="20% - Accent1 17" xfId="1250"/>
    <cellStyle name="20% - Accent1 17 2" xfId="1690"/>
    <cellStyle name="20% - Accent1 18" xfId="1265"/>
    <cellStyle name="20% - Accent1 18 2" xfId="1703"/>
    <cellStyle name="20% - Accent1 19" xfId="1278"/>
    <cellStyle name="20% - Accent1 19 2" xfId="1716"/>
    <cellStyle name="20% - Accent1 2" xfId="70"/>
    <cellStyle name="20% - Accent1 20" xfId="1291"/>
    <cellStyle name="20% - Accent1 20 2" xfId="1729"/>
    <cellStyle name="20% - Accent1 21" xfId="1304"/>
    <cellStyle name="20% - Accent1 21 2" xfId="1742"/>
    <cellStyle name="20% - Accent1 22" xfId="1318"/>
    <cellStyle name="20% - Accent1 22 2" xfId="1756"/>
    <cellStyle name="20% - Accent1 23" xfId="1331"/>
    <cellStyle name="20% - Accent1 23 2" xfId="1769"/>
    <cellStyle name="20% - Accent1 24" xfId="1783"/>
    <cellStyle name="20% - Accent1 25" xfId="1798"/>
    <cellStyle name="20% - Accent1 26" xfId="1812"/>
    <cellStyle name="20% - Accent1 3" xfId="71"/>
    <cellStyle name="20% - Accent1 4" xfId="72"/>
    <cellStyle name="20% - Accent1 5" xfId="73"/>
    <cellStyle name="20% - Accent1 6" xfId="74"/>
    <cellStyle name="20% - Accent1 7" xfId="75"/>
    <cellStyle name="20% - Accent1 8" xfId="76"/>
    <cellStyle name="20% - Accent1 9" xfId="77"/>
    <cellStyle name="20% - Accent2 10" xfId="79"/>
    <cellStyle name="20% - Accent2 10 2" xfId="626"/>
    <cellStyle name="20% - Accent2 10 2 2" xfId="1104"/>
    <cellStyle name="20% - Accent2 10 2 2 2" xfId="1545"/>
    <cellStyle name="20% - Accent2 10 2 3" xfId="1386"/>
    <cellStyle name="20% - Accent2 10 2 4" xfId="945"/>
    <cellStyle name="20% - Accent2 10 2 5" xfId="1865"/>
    <cellStyle name="20% - Accent2 10 3" xfId="772"/>
    <cellStyle name="20% - Accent2 10 3 2" xfId="1171"/>
    <cellStyle name="20% - Accent2 10 3 2 2" xfId="1612"/>
    <cellStyle name="20% - Accent2 10 3 3" xfId="1453"/>
    <cellStyle name="20% - Accent2 10 3 4" xfId="1012"/>
    <cellStyle name="20% - Accent2 10 3 5" xfId="1932"/>
    <cellStyle name="20% - Accent2 10 4" xfId="1064"/>
    <cellStyle name="20% - Accent2 10 4 2" xfId="1505"/>
    <cellStyle name="20% - Accent2 10 5" xfId="1346"/>
    <cellStyle name="20% - Accent2 10 6" xfId="905"/>
    <cellStyle name="20% - Accent2 10 7" xfId="1825"/>
    <cellStyle name="20% - Accent2 11" xfId="602"/>
    <cellStyle name="20% - Accent2 11 2" xfId="723"/>
    <cellStyle name="20% - Accent2 11 2 2" xfId="1122"/>
    <cellStyle name="20% - Accent2 11 2 2 2" xfId="1563"/>
    <cellStyle name="20% - Accent2 11 2 3" xfId="1404"/>
    <cellStyle name="20% - Accent2 11 2 4" xfId="963"/>
    <cellStyle name="20% - Accent2 11 2 5" xfId="1883"/>
    <cellStyle name="20% - Accent2 11 3" xfId="866"/>
    <cellStyle name="20% - Accent2 11 3 2" xfId="1186"/>
    <cellStyle name="20% - Accent2 11 3 2 2" xfId="1627"/>
    <cellStyle name="20% - Accent2 11 3 3" xfId="1468"/>
    <cellStyle name="20% - Accent2 11 3 4" xfId="1027"/>
    <cellStyle name="20% - Accent2 11 3 5" xfId="1947"/>
    <cellStyle name="20% - Accent2 11 4" xfId="1080"/>
    <cellStyle name="20% - Accent2 11 4 2" xfId="1521"/>
    <cellStyle name="20% - Accent2 11 5" xfId="1362"/>
    <cellStyle name="20% - Accent2 11 6" xfId="921"/>
    <cellStyle name="20% - Accent2 11 7" xfId="1841"/>
    <cellStyle name="20% - Accent2 12" xfId="615"/>
    <cellStyle name="20% - Accent2 12 2" xfId="736"/>
    <cellStyle name="20% - Accent2 12 2 2" xfId="1135"/>
    <cellStyle name="20% - Accent2 12 2 2 2" xfId="1576"/>
    <cellStyle name="20% - Accent2 12 2 3" xfId="1417"/>
    <cellStyle name="20% - Accent2 12 2 4" xfId="976"/>
    <cellStyle name="20% - Accent2 12 2 5" xfId="1896"/>
    <cellStyle name="20% - Accent2 12 3" xfId="879"/>
    <cellStyle name="20% - Accent2 12 3 2" xfId="1199"/>
    <cellStyle name="20% - Accent2 12 3 2 2" xfId="1640"/>
    <cellStyle name="20% - Accent2 12 3 3" xfId="1481"/>
    <cellStyle name="20% - Accent2 12 3 4" xfId="1040"/>
    <cellStyle name="20% - Accent2 12 3 5" xfId="1960"/>
    <cellStyle name="20% - Accent2 12 4" xfId="1093"/>
    <cellStyle name="20% - Accent2 12 4 2" xfId="1534"/>
    <cellStyle name="20% - Accent2 12 5" xfId="1375"/>
    <cellStyle name="20% - Accent2 12 6" xfId="934"/>
    <cellStyle name="20% - Accent2 12 7" xfId="1854"/>
    <cellStyle name="20% - Accent2 13" xfId="749"/>
    <cellStyle name="20% - Accent2 13 2" xfId="892"/>
    <cellStyle name="20% - Accent2 13 2 2" xfId="1212"/>
    <cellStyle name="20% - Accent2 13 2 2 2" xfId="1653"/>
    <cellStyle name="20% - Accent2 13 2 3" xfId="1494"/>
    <cellStyle name="20% - Accent2 13 2 4" xfId="1053"/>
    <cellStyle name="20% - Accent2 13 2 5" xfId="1973"/>
    <cellStyle name="20% - Accent2 13 3" xfId="1148"/>
    <cellStyle name="20% - Accent2 13 3 2" xfId="1589"/>
    <cellStyle name="20% - Accent2 13 4" xfId="1430"/>
    <cellStyle name="20% - Accent2 13 5" xfId="989"/>
    <cellStyle name="20% - Accent2 13 6" xfId="1909"/>
    <cellStyle name="20% - Accent2 14" xfId="762"/>
    <cellStyle name="20% - Accent2 14 2" xfId="1161"/>
    <cellStyle name="20% - Accent2 14 2 2" xfId="1602"/>
    <cellStyle name="20% - Accent2 14 3" xfId="1443"/>
    <cellStyle name="20% - Accent2 14 4" xfId="1002"/>
    <cellStyle name="20% - Accent2 14 5" xfId="1922"/>
    <cellStyle name="20% - Accent2 15" xfId="78"/>
    <cellStyle name="20% - Accent2 15 2" xfId="1666"/>
    <cellStyle name="20% - Accent2 15 3" xfId="1225"/>
    <cellStyle name="20% - Accent2 16" xfId="1237"/>
    <cellStyle name="20% - Accent2 16 2" xfId="1677"/>
    <cellStyle name="20% - Accent2 17" xfId="1252"/>
    <cellStyle name="20% - Accent2 17 2" xfId="1692"/>
    <cellStyle name="20% - Accent2 18" xfId="1267"/>
    <cellStyle name="20% - Accent2 18 2" xfId="1705"/>
    <cellStyle name="20% - Accent2 19" xfId="1280"/>
    <cellStyle name="20% - Accent2 19 2" xfId="1718"/>
    <cellStyle name="20% - Accent2 2" xfId="80"/>
    <cellStyle name="20% - Accent2 20" xfId="1293"/>
    <cellStyle name="20% - Accent2 20 2" xfId="1731"/>
    <cellStyle name="20% - Accent2 21" xfId="1306"/>
    <cellStyle name="20% - Accent2 21 2" xfId="1744"/>
    <cellStyle name="20% - Accent2 22" xfId="1320"/>
    <cellStyle name="20% - Accent2 22 2" xfId="1758"/>
    <cellStyle name="20% - Accent2 23" xfId="1333"/>
    <cellStyle name="20% - Accent2 23 2" xfId="1771"/>
    <cellStyle name="20% - Accent2 24" xfId="1785"/>
    <cellStyle name="20% - Accent2 25" xfId="1800"/>
    <cellStyle name="20% - Accent2 26" xfId="1814"/>
    <cellStyle name="20% - Accent2 3" xfId="81"/>
    <cellStyle name="20% - Accent2 4" xfId="82"/>
    <cellStyle name="20% - Accent2 5" xfId="83"/>
    <cellStyle name="20% - Accent2 6" xfId="84"/>
    <cellStyle name="20% - Accent2 7" xfId="85"/>
    <cellStyle name="20% - Accent2 8" xfId="86"/>
    <cellStyle name="20% - Accent2 9" xfId="87"/>
    <cellStyle name="20% - Accent3 10" xfId="89"/>
    <cellStyle name="20% - Accent3 10 2" xfId="627"/>
    <cellStyle name="20% - Accent3 10 2 2" xfId="1105"/>
    <cellStyle name="20% - Accent3 10 2 2 2" xfId="1546"/>
    <cellStyle name="20% - Accent3 10 2 3" xfId="1387"/>
    <cellStyle name="20% - Accent3 10 2 4" xfId="946"/>
    <cellStyle name="20% - Accent3 10 2 5" xfId="1866"/>
    <cellStyle name="20% - Accent3 10 3" xfId="652"/>
    <cellStyle name="20% - Accent3 10 3 2" xfId="1116"/>
    <cellStyle name="20% - Accent3 10 3 2 2" xfId="1557"/>
    <cellStyle name="20% - Accent3 10 3 3" xfId="1398"/>
    <cellStyle name="20% - Accent3 10 3 4" xfId="957"/>
    <cellStyle name="20% - Accent3 10 3 5" xfId="1877"/>
    <cellStyle name="20% - Accent3 10 4" xfId="1065"/>
    <cellStyle name="20% - Accent3 10 4 2" xfId="1506"/>
    <cellStyle name="20% - Accent3 10 5" xfId="1347"/>
    <cellStyle name="20% - Accent3 10 6" xfId="906"/>
    <cellStyle name="20% - Accent3 10 7" xfId="1826"/>
    <cellStyle name="20% - Accent3 11" xfId="604"/>
    <cellStyle name="20% - Accent3 11 2" xfId="725"/>
    <cellStyle name="20% - Accent3 11 2 2" xfId="1124"/>
    <cellStyle name="20% - Accent3 11 2 2 2" xfId="1565"/>
    <cellStyle name="20% - Accent3 11 2 3" xfId="1406"/>
    <cellStyle name="20% - Accent3 11 2 4" xfId="965"/>
    <cellStyle name="20% - Accent3 11 2 5" xfId="1885"/>
    <cellStyle name="20% - Accent3 11 3" xfId="868"/>
    <cellStyle name="20% - Accent3 11 3 2" xfId="1188"/>
    <cellStyle name="20% - Accent3 11 3 2 2" xfId="1629"/>
    <cellStyle name="20% - Accent3 11 3 3" xfId="1470"/>
    <cellStyle name="20% - Accent3 11 3 4" xfId="1029"/>
    <cellStyle name="20% - Accent3 11 3 5" xfId="1949"/>
    <cellStyle name="20% - Accent3 11 4" xfId="1082"/>
    <cellStyle name="20% - Accent3 11 4 2" xfId="1523"/>
    <cellStyle name="20% - Accent3 11 5" xfId="1364"/>
    <cellStyle name="20% - Accent3 11 6" xfId="923"/>
    <cellStyle name="20% - Accent3 11 7" xfId="1843"/>
    <cellStyle name="20% - Accent3 12" xfId="617"/>
    <cellStyle name="20% - Accent3 12 2" xfId="738"/>
    <cellStyle name="20% - Accent3 12 2 2" xfId="1137"/>
    <cellStyle name="20% - Accent3 12 2 2 2" xfId="1578"/>
    <cellStyle name="20% - Accent3 12 2 3" xfId="1419"/>
    <cellStyle name="20% - Accent3 12 2 4" xfId="978"/>
    <cellStyle name="20% - Accent3 12 2 5" xfId="1898"/>
    <cellStyle name="20% - Accent3 12 3" xfId="881"/>
    <cellStyle name="20% - Accent3 12 3 2" xfId="1201"/>
    <cellStyle name="20% - Accent3 12 3 2 2" xfId="1642"/>
    <cellStyle name="20% - Accent3 12 3 3" xfId="1483"/>
    <cellStyle name="20% - Accent3 12 3 4" xfId="1042"/>
    <cellStyle name="20% - Accent3 12 3 5" xfId="1962"/>
    <cellStyle name="20% - Accent3 12 4" xfId="1095"/>
    <cellStyle name="20% - Accent3 12 4 2" xfId="1536"/>
    <cellStyle name="20% - Accent3 12 5" xfId="1377"/>
    <cellStyle name="20% - Accent3 12 6" xfId="936"/>
    <cellStyle name="20% - Accent3 12 7" xfId="1856"/>
    <cellStyle name="20% - Accent3 13" xfId="751"/>
    <cellStyle name="20% - Accent3 13 2" xfId="894"/>
    <cellStyle name="20% - Accent3 13 2 2" xfId="1214"/>
    <cellStyle name="20% - Accent3 13 2 2 2" xfId="1655"/>
    <cellStyle name="20% - Accent3 13 2 3" xfId="1496"/>
    <cellStyle name="20% - Accent3 13 2 4" xfId="1055"/>
    <cellStyle name="20% - Accent3 13 2 5" xfId="1975"/>
    <cellStyle name="20% - Accent3 13 3" xfId="1150"/>
    <cellStyle name="20% - Accent3 13 3 2" xfId="1591"/>
    <cellStyle name="20% - Accent3 13 4" xfId="1432"/>
    <cellStyle name="20% - Accent3 13 5" xfId="991"/>
    <cellStyle name="20% - Accent3 13 6" xfId="1911"/>
    <cellStyle name="20% - Accent3 14" xfId="764"/>
    <cellStyle name="20% - Accent3 14 2" xfId="1163"/>
    <cellStyle name="20% - Accent3 14 2 2" xfId="1604"/>
    <cellStyle name="20% - Accent3 14 3" xfId="1445"/>
    <cellStyle name="20% - Accent3 14 4" xfId="1004"/>
    <cellStyle name="20% - Accent3 14 5" xfId="1924"/>
    <cellStyle name="20% - Accent3 15" xfId="88"/>
    <cellStyle name="20% - Accent3 15 2" xfId="1668"/>
    <cellStyle name="20% - Accent3 15 3" xfId="1227"/>
    <cellStyle name="20% - Accent3 16" xfId="1238"/>
    <cellStyle name="20% - Accent3 16 2" xfId="1678"/>
    <cellStyle name="20% - Accent3 17" xfId="1254"/>
    <cellStyle name="20% - Accent3 17 2" xfId="1694"/>
    <cellStyle name="20% - Accent3 18" xfId="1269"/>
    <cellStyle name="20% - Accent3 18 2" xfId="1707"/>
    <cellStyle name="20% - Accent3 19" xfId="1282"/>
    <cellStyle name="20% - Accent3 19 2" xfId="1720"/>
    <cellStyle name="20% - Accent3 2" xfId="90"/>
    <cellStyle name="20% - Accent3 20" xfId="1295"/>
    <cellStyle name="20% - Accent3 20 2" xfId="1733"/>
    <cellStyle name="20% - Accent3 21" xfId="1308"/>
    <cellStyle name="20% - Accent3 21 2" xfId="1746"/>
    <cellStyle name="20% - Accent3 22" xfId="1322"/>
    <cellStyle name="20% - Accent3 22 2" xfId="1760"/>
    <cellStyle name="20% - Accent3 23" xfId="1335"/>
    <cellStyle name="20% - Accent3 23 2" xfId="1773"/>
    <cellStyle name="20% - Accent3 24" xfId="1787"/>
    <cellStyle name="20% - Accent3 25" xfId="1802"/>
    <cellStyle name="20% - Accent3 26" xfId="1816"/>
    <cellStyle name="20% - Accent3 3" xfId="91"/>
    <cellStyle name="20% - Accent3 4" xfId="92"/>
    <cellStyle name="20% - Accent3 5" xfId="93"/>
    <cellStyle name="20% - Accent3 6" xfId="94"/>
    <cellStyle name="20% - Accent3 7" xfId="95"/>
    <cellStyle name="20% - Accent3 8" xfId="96"/>
    <cellStyle name="20% - Accent3 9" xfId="97"/>
    <cellStyle name="20% - Accent4 10" xfId="99"/>
    <cellStyle name="20% - Accent4 10 2" xfId="628"/>
    <cellStyle name="20% - Accent4 10 2 2" xfId="1106"/>
    <cellStyle name="20% - Accent4 10 2 2 2" xfId="1547"/>
    <cellStyle name="20% - Accent4 10 2 3" xfId="1388"/>
    <cellStyle name="20% - Accent4 10 2 4" xfId="947"/>
    <cellStyle name="20% - Accent4 10 2 5" xfId="1867"/>
    <cellStyle name="20% - Accent4 10 3" xfId="773"/>
    <cellStyle name="20% - Accent4 10 3 2" xfId="1172"/>
    <cellStyle name="20% - Accent4 10 3 2 2" xfId="1613"/>
    <cellStyle name="20% - Accent4 10 3 3" xfId="1454"/>
    <cellStyle name="20% - Accent4 10 3 4" xfId="1013"/>
    <cellStyle name="20% - Accent4 10 3 5" xfId="1933"/>
    <cellStyle name="20% - Accent4 10 4" xfId="1066"/>
    <cellStyle name="20% - Accent4 10 4 2" xfId="1507"/>
    <cellStyle name="20% - Accent4 10 5" xfId="1348"/>
    <cellStyle name="20% - Accent4 10 6" xfId="907"/>
    <cellStyle name="20% - Accent4 10 7" xfId="1827"/>
    <cellStyle name="20% - Accent4 11" xfId="606"/>
    <cellStyle name="20% - Accent4 11 2" xfId="727"/>
    <cellStyle name="20% - Accent4 11 2 2" xfId="1126"/>
    <cellStyle name="20% - Accent4 11 2 2 2" xfId="1567"/>
    <cellStyle name="20% - Accent4 11 2 3" xfId="1408"/>
    <cellStyle name="20% - Accent4 11 2 4" xfId="967"/>
    <cellStyle name="20% - Accent4 11 2 5" xfId="1887"/>
    <cellStyle name="20% - Accent4 11 3" xfId="870"/>
    <cellStyle name="20% - Accent4 11 3 2" xfId="1190"/>
    <cellStyle name="20% - Accent4 11 3 2 2" xfId="1631"/>
    <cellStyle name="20% - Accent4 11 3 3" xfId="1472"/>
    <cellStyle name="20% - Accent4 11 3 4" xfId="1031"/>
    <cellStyle name="20% - Accent4 11 3 5" xfId="1951"/>
    <cellStyle name="20% - Accent4 11 4" xfId="1084"/>
    <cellStyle name="20% - Accent4 11 4 2" xfId="1525"/>
    <cellStyle name="20% - Accent4 11 5" xfId="1366"/>
    <cellStyle name="20% - Accent4 11 6" xfId="925"/>
    <cellStyle name="20% - Accent4 11 7" xfId="1845"/>
    <cellStyle name="20% - Accent4 12" xfId="619"/>
    <cellStyle name="20% - Accent4 12 2" xfId="740"/>
    <cellStyle name="20% - Accent4 12 2 2" xfId="1139"/>
    <cellStyle name="20% - Accent4 12 2 2 2" xfId="1580"/>
    <cellStyle name="20% - Accent4 12 2 3" xfId="1421"/>
    <cellStyle name="20% - Accent4 12 2 4" xfId="980"/>
    <cellStyle name="20% - Accent4 12 2 5" xfId="1900"/>
    <cellStyle name="20% - Accent4 12 3" xfId="883"/>
    <cellStyle name="20% - Accent4 12 3 2" xfId="1203"/>
    <cellStyle name="20% - Accent4 12 3 2 2" xfId="1644"/>
    <cellStyle name="20% - Accent4 12 3 3" xfId="1485"/>
    <cellStyle name="20% - Accent4 12 3 4" xfId="1044"/>
    <cellStyle name="20% - Accent4 12 3 5" xfId="1964"/>
    <cellStyle name="20% - Accent4 12 4" xfId="1097"/>
    <cellStyle name="20% - Accent4 12 4 2" xfId="1538"/>
    <cellStyle name="20% - Accent4 12 5" xfId="1379"/>
    <cellStyle name="20% - Accent4 12 6" xfId="938"/>
    <cellStyle name="20% - Accent4 12 7" xfId="1858"/>
    <cellStyle name="20% - Accent4 13" xfId="753"/>
    <cellStyle name="20% - Accent4 13 2" xfId="896"/>
    <cellStyle name="20% - Accent4 13 2 2" xfId="1216"/>
    <cellStyle name="20% - Accent4 13 2 2 2" xfId="1657"/>
    <cellStyle name="20% - Accent4 13 2 3" xfId="1498"/>
    <cellStyle name="20% - Accent4 13 2 4" xfId="1057"/>
    <cellStyle name="20% - Accent4 13 2 5" xfId="1977"/>
    <cellStyle name="20% - Accent4 13 3" xfId="1152"/>
    <cellStyle name="20% - Accent4 13 3 2" xfId="1593"/>
    <cellStyle name="20% - Accent4 13 4" xfId="1434"/>
    <cellStyle name="20% - Accent4 13 5" xfId="993"/>
    <cellStyle name="20% - Accent4 13 6" xfId="1913"/>
    <cellStyle name="20% - Accent4 14" xfId="766"/>
    <cellStyle name="20% - Accent4 14 2" xfId="1165"/>
    <cellStyle name="20% - Accent4 14 2 2" xfId="1606"/>
    <cellStyle name="20% - Accent4 14 3" xfId="1447"/>
    <cellStyle name="20% - Accent4 14 4" xfId="1006"/>
    <cellStyle name="20% - Accent4 14 5" xfId="1926"/>
    <cellStyle name="20% - Accent4 15" xfId="98"/>
    <cellStyle name="20% - Accent4 15 2" xfId="1670"/>
    <cellStyle name="20% - Accent4 15 3" xfId="1229"/>
    <cellStyle name="20% - Accent4 16" xfId="1239"/>
    <cellStyle name="20% - Accent4 16 2" xfId="1679"/>
    <cellStyle name="20% - Accent4 17" xfId="1256"/>
    <cellStyle name="20% - Accent4 17 2" xfId="1696"/>
    <cellStyle name="20% - Accent4 18" xfId="1271"/>
    <cellStyle name="20% - Accent4 18 2" xfId="1709"/>
    <cellStyle name="20% - Accent4 19" xfId="1284"/>
    <cellStyle name="20% - Accent4 19 2" xfId="1722"/>
    <cellStyle name="20% - Accent4 2" xfId="100"/>
    <cellStyle name="20% - Accent4 20" xfId="1297"/>
    <cellStyle name="20% - Accent4 20 2" xfId="1735"/>
    <cellStyle name="20% - Accent4 21" xfId="1310"/>
    <cellStyle name="20% - Accent4 21 2" xfId="1748"/>
    <cellStyle name="20% - Accent4 22" xfId="1324"/>
    <cellStyle name="20% - Accent4 22 2" xfId="1762"/>
    <cellStyle name="20% - Accent4 23" xfId="1337"/>
    <cellStyle name="20% - Accent4 23 2" xfId="1775"/>
    <cellStyle name="20% - Accent4 24" xfId="1789"/>
    <cellStyle name="20% - Accent4 25" xfId="1804"/>
    <cellStyle name="20% - Accent4 26" xfId="1818"/>
    <cellStyle name="20% - Accent4 3" xfId="101"/>
    <cellStyle name="20% - Accent4 4" xfId="102"/>
    <cellStyle name="20% - Accent4 5" xfId="103"/>
    <cellStyle name="20% - Accent4 6" xfId="104"/>
    <cellStyle name="20% - Accent4 7" xfId="105"/>
    <cellStyle name="20% - Accent4 8" xfId="106"/>
    <cellStyle name="20% - Accent4 9" xfId="107"/>
    <cellStyle name="20% - Accent5 10" xfId="109"/>
    <cellStyle name="20% - Accent5 10 2" xfId="629"/>
    <cellStyle name="20% - Accent5 10 2 2" xfId="1107"/>
    <cellStyle name="20% - Accent5 10 2 2 2" xfId="1548"/>
    <cellStyle name="20% - Accent5 10 2 3" xfId="1389"/>
    <cellStyle name="20% - Accent5 10 2 4" xfId="948"/>
    <cellStyle name="20% - Accent5 10 2 5" xfId="1868"/>
    <cellStyle name="20% - Accent5 10 3" xfId="774"/>
    <cellStyle name="20% - Accent5 10 3 2" xfId="1173"/>
    <cellStyle name="20% - Accent5 10 3 2 2" xfId="1614"/>
    <cellStyle name="20% - Accent5 10 3 3" xfId="1455"/>
    <cellStyle name="20% - Accent5 10 3 4" xfId="1014"/>
    <cellStyle name="20% - Accent5 10 3 5" xfId="1934"/>
    <cellStyle name="20% - Accent5 10 4" xfId="1067"/>
    <cellStyle name="20% - Accent5 10 4 2" xfId="1508"/>
    <cellStyle name="20% - Accent5 10 5" xfId="1349"/>
    <cellStyle name="20% - Accent5 10 6" xfId="908"/>
    <cellStyle name="20% - Accent5 10 7" xfId="1828"/>
    <cellStyle name="20% - Accent5 11" xfId="608"/>
    <cellStyle name="20% - Accent5 11 2" xfId="729"/>
    <cellStyle name="20% - Accent5 11 2 2" xfId="1128"/>
    <cellStyle name="20% - Accent5 11 2 2 2" xfId="1569"/>
    <cellStyle name="20% - Accent5 11 2 3" xfId="1410"/>
    <cellStyle name="20% - Accent5 11 2 4" xfId="969"/>
    <cellStyle name="20% - Accent5 11 2 5" xfId="1889"/>
    <cellStyle name="20% - Accent5 11 3" xfId="872"/>
    <cellStyle name="20% - Accent5 11 3 2" xfId="1192"/>
    <cellStyle name="20% - Accent5 11 3 2 2" xfId="1633"/>
    <cellStyle name="20% - Accent5 11 3 3" xfId="1474"/>
    <cellStyle name="20% - Accent5 11 3 4" xfId="1033"/>
    <cellStyle name="20% - Accent5 11 3 5" xfId="1953"/>
    <cellStyle name="20% - Accent5 11 4" xfId="1086"/>
    <cellStyle name="20% - Accent5 11 4 2" xfId="1527"/>
    <cellStyle name="20% - Accent5 11 5" xfId="1368"/>
    <cellStyle name="20% - Accent5 11 6" xfId="927"/>
    <cellStyle name="20% - Accent5 11 7" xfId="1847"/>
    <cellStyle name="20% - Accent5 12" xfId="621"/>
    <cellStyle name="20% - Accent5 12 2" xfId="742"/>
    <cellStyle name="20% - Accent5 12 2 2" xfId="1141"/>
    <cellStyle name="20% - Accent5 12 2 2 2" xfId="1582"/>
    <cellStyle name="20% - Accent5 12 2 3" xfId="1423"/>
    <cellStyle name="20% - Accent5 12 2 4" xfId="982"/>
    <cellStyle name="20% - Accent5 12 2 5" xfId="1902"/>
    <cellStyle name="20% - Accent5 12 3" xfId="885"/>
    <cellStyle name="20% - Accent5 12 3 2" xfId="1205"/>
    <cellStyle name="20% - Accent5 12 3 2 2" xfId="1646"/>
    <cellStyle name="20% - Accent5 12 3 3" xfId="1487"/>
    <cellStyle name="20% - Accent5 12 3 4" xfId="1046"/>
    <cellStyle name="20% - Accent5 12 3 5" xfId="1966"/>
    <cellStyle name="20% - Accent5 12 4" xfId="1099"/>
    <cellStyle name="20% - Accent5 12 4 2" xfId="1540"/>
    <cellStyle name="20% - Accent5 12 5" xfId="1381"/>
    <cellStyle name="20% - Accent5 12 6" xfId="940"/>
    <cellStyle name="20% - Accent5 12 7" xfId="1860"/>
    <cellStyle name="20% - Accent5 13" xfId="755"/>
    <cellStyle name="20% - Accent5 13 2" xfId="898"/>
    <cellStyle name="20% - Accent5 13 2 2" xfId="1218"/>
    <cellStyle name="20% - Accent5 13 2 2 2" xfId="1659"/>
    <cellStyle name="20% - Accent5 13 2 3" xfId="1500"/>
    <cellStyle name="20% - Accent5 13 2 4" xfId="1059"/>
    <cellStyle name="20% - Accent5 13 2 5" xfId="1979"/>
    <cellStyle name="20% - Accent5 13 3" xfId="1154"/>
    <cellStyle name="20% - Accent5 13 3 2" xfId="1595"/>
    <cellStyle name="20% - Accent5 13 4" xfId="1436"/>
    <cellStyle name="20% - Accent5 13 5" xfId="995"/>
    <cellStyle name="20% - Accent5 13 6" xfId="1915"/>
    <cellStyle name="20% - Accent5 14" xfId="768"/>
    <cellStyle name="20% - Accent5 14 2" xfId="1167"/>
    <cellStyle name="20% - Accent5 14 2 2" xfId="1608"/>
    <cellStyle name="20% - Accent5 14 3" xfId="1449"/>
    <cellStyle name="20% - Accent5 14 4" xfId="1008"/>
    <cellStyle name="20% - Accent5 14 5" xfId="1928"/>
    <cellStyle name="20% - Accent5 15" xfId="108"/>
    <cellStyle name="20% - Accent5 15 2" xfId="1672"/>
    <cellStyle name="20% - Accent5 15 3" xfId="1231"/>
    <cellStyle name="20% - Accent5 16" xfId="1240"/>
    <cellStyle name="20% - Accent5 16 2" xfId="1680"/>
    <cellStyle name="20% - Accent5 17" xfId="1258"/>
    <cellStyle name="20% - Accent5 17 2" xfId="1698"/>
    <cellStyle name="20% - Accent5 18" xfId="1273"/>
    <cellStyle name="20% - Accent5 18 2" xfId="1711"/>
    <cellStyle name="20% - Accent5 19" xfId="1286"/>
    <cellStyle name="20% - Accent5 19 2" xfId="1724"/>
    <cellStyle name="20% - Accent5 2" xfId="110"/>
    <cellStyle name="20% - Accent5 20" xfId="1299"/>
    <cellStyle name="20% - Accent5 20 2" xfId="1737"/>
    <cellStyle name="20% - Accent5 21" xfId="1312"/>
    <cellStyle name="20% - Accent5 21 2" xfId="1750"/>
    <cellStyle name="20% - Accent5 22" xfId="1326"/>
    <cellStyle name="20% - Accent5 22 2" xfId="1764"/>
    <cellStyle name="20% - Accent5 23" xfId="1339"/>
    <cellStyle name="20% - Accent5 23 2" xfId="1777"/>
    <cellStyle name="20% - Accent5 24" xfId="1791"/>
    <cellStyle name="20% - Accent5 25" xfId="1806"/>
    <cellStyle name="20% - Accent5 26" xfId="1820"/>
    <cellStyle name="20% - Accent5 3" xfId="111"/>
    <cellStyle name="20% - Accent5 4" xfId="112"/>
    <cellStyle name="20% - Accent5 5" xfId="113"/>
    <cellStyle name="20% - Accent5 6" xfId="114"/>
    <cellStyle name="20% - Accent5 7" xfId="115"/>
    <cellStyle name="20% - Accent5 8" xfId="116"/>
    <cellStyle name="20% - Accent5 9" xfId="117"/>
    <cellStyle name="20% - Accent6 10" xfId="119"/>
    <cellStyle name="20% - Accent6 10 2" xfId="630"/>
    <cellStyle name="20% - Accent6 10 2 2" xfId="1108"/>
    <cellStyle name="20% - Accent6 10 2 2 2" xfId="1549"/>
    <cellStyle name="20% - Accent6 10 2 3" xfId="1390"/>
    <cellStyle name="20% - Accent6 10 2 4" xfId="949"/>
    <cellStyle name="20% - Accent6 10 2 5" xfId="1869"/>
    <cellStyle name="20% - Accent6 10 3" xfId="775"/>
    <cellStyle name="20% - Accent6 10 3 2" xfId="1174"/>
    <cellStyle name="20% - Accent6 10 3 2 2" xfId="1615"/>
    <cellStyle name="20% - Accent6 10 3 3" xfId="1456"/>
    <cellStyle name="20% - Accent6 10 3 4" xfId="1015"/>
    <cellStyle name="20% - Accent6 10 3 5" xfId="1935"/>
    <cellStyle name="20% - Accent6 10 4" xfId="1068"/>
    <cellStyle name="20% - Accent6 10 4 2" xfId="1509"/>
    <cellStyle name="20% - Accent6 10 5" xfId="1350"/>
    <cellStyle name="20% - Accent6 10 6" xfId="909"/>
    <cellStyle name="20% - Accent6 10 7" xfId="1829"/>
    <cellStyle name="20% - Accent6 11" xfId="610"/>
    <cellStyle name="20% - Accent6 11 2" xfId="731"/>
    <cellStyle name="20% - Accent6 11 2 2" xfId="1130"/>
    <cellStyle name="20% - Accent6 11 2 2 2" xfId="1571"/>
    <cellStyle name="20% - Accent6 11 2 3" xfId="1412"/>
    <cellStyle name="20% - Accent6 11 2 4" xfId="971"/>
    <cellStyle name="20% - Accent6 11 2 5" xfId="1891"/>
    <cellStyle name="20% - Accent6 11 3" xfId="874"/>
    <cellStyle name="20% - Accent6 11 3 2" xfId="1194"/>
    <cellStyle name="20% - Accent6 11 3 2 2" xfId="1635"/>
    <cellStyle name="20% - Accent6 11 3 3" xfId="1476"/>
    <cellStyle name="20% - Accent6 11 3 4" xfId="1035"/>
    <cellStyle name="20% - Accent6 11 3 5" xfId="1955"/>
    <cellStyle name="20% - Accent6 11 4" xfId="1088"/>
    <cellStyle name="20% - Accent6 11 4 2" xfId="1529"/>
    <cellStyle name="20% - Accent6 11 5" xfId="1370"/>
    <cellStyle name="20% - Accent6 11 6" xfId="929"/>
    <cellStyle name="20% - Accent6 11 7" xfId="1849"/>
    <cellStyle name="20% - Accent6 12" xfId="623"/>
    <cellStyle name="20% - Accent6 12 2" xfId="744"/>
    <cellStyle name="20% - Accent6 12 2 2" xfId="1143"/>
    <cellStyle name="20% - Accent6 12 2 2 2" xfId="1584"/>
    <cellStyle name="20% - Accent6 12 2 3" xfId="1425"/>
    <cellStyle name="20% - Accent6 12 2 4" xfId="984"/>
    <cellStyle name="20% - Accent6 12 2 5" xfId="1904"/>
    <cellStyle name="20% - Accent6 12 3" xfId="887"/>
    <cellStyle name="20% - Accent6 12 3 2" xfId="1207"/>
    <cellStyle name="20% - Accent6 12 3 2 2" xfId="1648"/>
    <cellStyle name="20% - Accent6 12 3 3" xfId="1489"/>
    <cellStyle name="20% - Accent6 12 3 4" xfId="1048"/>
    <cellStyle name="20% - Accent6 12 3 5" xfId="1968"/>
    <cellStyle name="20% - Accent6 12 4" xfId="1101"/>
    <cellStyle name="20% - Accent6 12 4 2" xfId="1542"/>
    <cellStyle name="20% - Accent6 12 5" xfId="1383"/>
    <cellStyle name="20% - Accent6 12 6" xfId="942"/>
    <cellStyle name="20% - Accent6 12 7" xfId="1862"/>
    <cellStyle name="20% - Accent6 13" xfId="757"/>
    <cellStyle name="20% - Accent6 13 2" xfId="900"/>
    <cellStyle name="20% - Accent6 13 2 2" xfId="1220"/>
    <cellStyle name="20% - Accent6 13 2 2 2" xfId="1661"/>
    <cellStyle name="20% - Accent6 13 2 3" xfId="1502"/>
    <cellStyle name="20% - Accent6 13 2 4" xfId="1061"/>
    <cellStyle name="20% - Accent6 13 2 5" xfId="1981"/>
    <cellStyle name="20% - Accent6 13 3" xfId="1156"/>
    <cellStyle name="20% - Accent6 13 3 2" xfId="1597"/>
    <cellStyle name="20% - Accent6 13 4" xfId="1438"/>
    <cellStyle name="20% - Accent6 13 5" xfId="997"/>
    <cellStyle name="20% - Accent6 13 6" xfId="1917"/>
    <cellStyle name="20% - Accent6 14" xfId="770"/>
    <cellStyle name="20% - Accent6 14 2" xfId="1169"/>
    <cellStyle name="20% - Accent6 14 2 2" xfId="1610"/>
    <cellStyle name="20% - Accent6 14 3" xfId="1451"/>
    <cellStyle name="20% - Accent6 14 4" xfId="1010"/>
    <cellStyle name="20% - Accent6 14 5" xfId="1930"/>
    <cellStyle name="20% - Accent6 15" xfId="118"/>
    <cellStyle name="20% - Accent6 15 2" xfId="1674"/>
    <cellStyle name="20% - Accent6 15 3" xfId="1233"/>
    <cellStyle name="20% - Accent6 16" xfId="1241"/>
    <cellStyle name="20% - Accent6 16 2" xfId="1681"/>
    <cellStyle name="20% - Accent6 17" xfId="1260"/>
    <cellStyle name="20% - Accent6 17 2" xfId="1700"/>
    <cellStyle name="20% - Accent6 18" xfId="1275"/>
    <cellStyle name="20% - Accent6 18 2" xfId="1713"/>
    <cellStyle name="20% - Accent6 19" xfId="1288"/>
    <cellStyle name="20% - Accent6 19 2" xfId="1726"/>
    <cellStyle name="20% - Accent6 2" xfId="120"/>
    <cellStyle name="20% - Accent6 20" xfId="1301"/>
    <cellStyle name="20% - Accent6 20 2" xfId="1739"/>
    <cellStyle name="20% - Accent6 21" xfId="1314"/>
    <cellStyle name="20% - Accent6 21 2" xfId="1752"/>
    <cellStyle name="20% - Accent6 22" xfId="1328"/>
    <cellStyle name="20% - Accent6 22 2" xfId="1766"/>
    <cellStyle name="20% - Accent6 23" xfId="1341"/>
    <cellStyle name="20% - Accent6 23 2" xfId="1779"/>
    <cellStyle name="20% - Accent6 24" xfId="1793"/>
    <cellStyle name="20% - Accent6 25" xfId="1808"/>
    <cellStyle name="20% - Accent6 26" xfId="1822"/>
    <cellStyle name="20% - Accent6 3" xfId="121"/>
    <cellStyle name="20% - Accent6 4" xfId="122"/>
    <cellStyle name="20% - Accent6 5" xfId="123"/>
    <cellStyle name="20% - Accent6 6" xfId="124"/>
    <cellStyle name="20% - Accent6 7" xfId="125"/>
    <cellStyle name="20% - Accent6 8" xfId="126"/>
    <cellStyle name="20% - Accent6 9" xfId="127"/>
    <cellStyle name="40% - Accent1 10" xfId="129"/>
    <cellStyle name="40% - Accent1 10 2" xfId="631"/>
    <cellStyle name="40% - Accent1 10 2 2" xfId="1109"/>
    <cellStyle name="40% - Accent1 10 2 2 2" xfId="1550"/>
    <cellStyle name="40% - Accent1 10 2 3" xfId="1391"/>
    <cellStyle name="40% - Accent1 10 2 4" xfId="950"/>
    <cellStyle name="40% - Accent1 10 2 5" xfId="1870"/>
    <cellStyle name="40% - Accent1 10 3" xfId="776"/>
    <cellStyle name="40% - Accent1 10 3 2" xfId="1175"/>
    <cellStyle name="40% - Accent1 10 3 2 2" xfId="1616"/>
    <cellStyle name="40% - Accent1 10 3 3" xfId="1457"/>
    <cellStyle name="40% - Accent1 10 3 4" xfId="1016"/>
    <cellStyle name="40% - Accent1 10 3 5" xfId="1936"/>
    <cellStyle name="40% - Accent1 10 4" xfId="1069"/>
    <cellStyle name="40% - Accent1 10 4 2" xfId="1510"/>
    <cellStyle name="40% - Accent1 10 5" xfId="1351"/>
    <cellStyle name="40% - Accent1 10 6" xfId="910"/>
    <cellStyle name="40% - Accent1 10 7" xfId="1830"/>
    <cellStyle name="40% - Accent1 11" xfId="601"/>
    <cellStyle name="40% - Accent1 11 2" xfId="722"/>
    <cellStyle name="40% - Accent1 11 2 2" xfId="1121"/>
    <cellStyle name="40% - Accent1 11 2 2 2" xfId="1562"/>
    <cellStyle name="40% - Accent1 11 2 3" xfId="1403"/>
    <cellStyle name="40% - Accent1 11 2 4" xfId="962"/>
    <cellStyle name="40% - Accent1 11 2 5" xfId="1882"/>
    <cellStyle name="40% - Accent1 11 3" xfId="865"/>
    <cellStyle name="40% - Accent1 11 3 2" xfId="1185"/>
    <cellStyle name="40% - Accent1 11 3 2 2" xfId="1626"/>
    <cellStyle name="40% - Accent1 11 3 3" xfId="1467"/>
    <cellStyle name="40% - Accent1 11 3 4" xfId="1026"/>
    <cellStyle name="40% - Accent1 11 3 5" xfId="1946"/>
    <cellStyle name="40% - Accent1 11 4" xfId="1079"/>
    <cellStyle name="40% - Accent1 11 4 2" xfId="1520"/>
    <cellStyle name="40% - Accent1 11 5" xfId="1361"/>
    <cellStyle name="40% - Accent1 11 6" xfId="920"/>
    <cellStyle name="40% - Accent1 11 7" xfId="1840"/>
    <cellStyle name="40% - Accent1 12" xfId="614"/>
    <cellStyle name="40% - Accent1 12 2" xfId="735"/>
    <cellStyle name="40% - Accent1 12 2 2" xfId="1134"/>
    <cellStyle name="40% - Accent1 12 2 2 2" xfId="1575"/>
    <cellStyle name="40% - Accent1 12 2 3" xfId="1416"/>
    <cellStyle name="40% - Accent1 12 2 4" xfId="975"/>
    <cellStyle name="40% - Accent1 12 2 5" xfId="1895"/>
    <cellStyle name="40% - Accent1 12 3" xfId="878"/>
    <cellStyle name="40% - Accent1 12 3 2" xfId="1198"/>
    <cellStyle name="40% - Accent1 12 3 2 2" xfId="1639"/>
    <cellStyle name="40% - Accent1 12 3 3" xfId="1480"/>
    <cellStyle name="40% - Accent1 12 3 4" xfId="1039"/>
    <cellStyle name="40% - Accent1 12 3 5" xfId="1959"/>
    <cellStyle name="40% - Accent1 12 4" xfId="1092"/>
    <cellStyle name="40% - Accent1 12 4 2" xfId="1533"/>
    <cellStyle name="40% - Accent1 12 5" xfId="1374"/>
    <cellStyle name="40% - Accent1 12 6" xfId="933"/>
    <cellStyle name="40% - Accent1 12 7" xfId="1853"/>
    <cellStyle name="40% - Accent1 13" xfId="748"/>
    <cellStyle name="40% - Accent1 13 2" xfId="891"/>
    <cellStyle name="40% - Accent1 13 2 2" xfId="1211"/>
    <cellStyle name="40% - Accent1 13 2 2 2" xfId="1652"/>
    <cellStyle name="40% - Accent1 13 2 3" xfId="1493"/>
    <cellStyle name="40% - Accent1 13 2 4" xfId="1052"/>
    <cellStyle name="40% - Accent1 13 2 5" xfId="1972"/>
    <cellStyle name="40% - Accent1 13 3" xfId="1147"/>
    <cellStyle name="40% - Accent1 13 3 2" xfId="1588"/>
    <cellStyle name="40% - Accent1 13 4" xfId="1429"/>
    <cellStyle name="40% - Accent1 13 5" xfId="988"/>
    <cellStyle name="40% - Accent1 13 6" xfId="1908"/>
    <cellStyle name="40% - Accent1 14" xfId="761"/>
    <cellStyle name="40% - Accent1 14 2" xfId="1160"/>
    <cellStyle name="40% - Accent1 14 2 2" xfId="1601"/>
    <cellStyle name="40% - Accent1 14 3" xfId="1442"/>
    <cellStyle name="40% - Accent1 14 4" xfId="1001"/>
    <cellStyle name="40% - Accent1 14 5" xfId="1921"/>
    <cellStyle name="40% - Accent1 15" xfId="128"/>
    <cellStyle name="40% - Accent1 15 2" xfId="1665"/>
    <cellStyle name="40% - Accent1 15 3" xfId="1224"/>
    <cellStyle name="40% - Accent1 16" xfId="1242"/>
    <cellStyle name="40% - Accent1 16 2" xfId="1682"/>
    <cellStyle name="40% - Accent1 17" xfId="1251"/>
    <cellStyle name="40% - Accent1 17 2" xfId="1691"/>
    <cellStyle name="40% - Accent1 18" xfId="1266"/>
    <cellStyle name="40% - Accent1 18 2" xfId="1704"/>
    <cellStyle name="40% - Accent1 19" xfId="1279"/>
    <cellStyle name="40% - Accent1 19 2" xfId="1717"/>
    <cellStyle name="40% - Accent1 2" xfId="130"/>
    <cellStyle name="40% - Accent1 20" xfId="1292"/>
    <cellStyle name="40% - Accent1 20 2" xfId="1730"/>
    <cellStyle name="40% - Accent1 21" xfId="1305"/>
    <cellStyle name="40% - Accent1 21 2" xfId="1743"/>
    <cellStyle name="40% - Accent1 22" xfId="1319"/>
    <cellStyle name="40% - Accent1 22 2" xfId="1757"/>
    <cellStyle name="40% - Accent1 23" xfId="1332"/>
    <cellStyle name="40% - Accent1 23 2" xfId="1770"/>
    <cellStyle name="40% - Accent1 24" xfId="1784"/>
    <cellStyle name="40% - Accent1 25" xfId="1799"/>
    <cellStyle name="40% - Accent1 26" xfId="1813"/>
    <cellStyle name="40% - Accent1 3" xfId="131"/>
    <cellStyle name="40% - Accent1 4" xfId="132"/>
    <cellStyle name="40% - Accent1 5" xfId="133"/>
    <cellStyle name="40% - Accent1 6" xfId="134"/>
    <cellStyle name="40% - Accent1 7" xfId="135"/>
    <cellStyle name="40% - Accent1 8" xfId="136"/>
    <cellStyle name="40% - Accent1 9" xfId="137"/>
    <cellStyle name="40% - Accent2 10" xfId="139"/>
    <cellStyle name="40% - Accent2 10 2" xfId="632"/>
    <cellStyle name="40% - Accent2 10 2 2" xfId="1110"/>
    <cellStyle name="40% - Accent2 10 2 2 2" xfId="1551"/>
    <cellStyle name="40% - Accent2 10 2 3" xfId="1392"/>
    <cellStyle name="40% - Accent2 10 2 4" xfId="951"/>
    <cellStyle name="40% - Accent2 10 2 5" xfId="1871"/>
    <cellStyle name="40% - Accent2 10 3" xfId="777"/>
    <cellStyle name="40% - Accent2 10 3 2" xfId="1176"/>
    <cellStyle name="40% - Accent2 10 3 2 2" xfId="1617"/>
    <cellStyle name="40% - Accent2 10 3 3" xfId="1458"/>
    <cellStyle name="40% - Accent2 10 3 4" xfId="1017"/>
    <cellStyle name="40% - Accent2 10 3 5" xfId="1937"/>
    <cellStyle name="40% - Accent2 10 4" xfId="1070"/>
    <cellStyle name="40% - Accent2 10 4 2" xfId="1511"/>
    <cellStyle name="40% - Accent2 10 5" xfId="1352"/>
    <cellStyle name="40% - Accent2 10 6" xfId="911"/>
    <cellStyle name="40% - Accent2 10 7" xfId="1831"/>
    <cellStyle name="40% - Accent2 11" xfId="603"/>
    <cellStyle name="40% - Accent2 11 2" xfId="724"/>
    <cellStyle name="40% - Accent2 11 2 2" xfId="1123"/>
    <cellStyle name="40% - Accent2 11 2 2 2" xfId="1564"/>
    <cellStyle name="40% - Accent2 11 2 3" xfId="1405"/>
    <cellStyle name="40% - Accent2 11 2 4" xfId="964"/>
    <cellStyle name="40% - Accent2 11 2 5" xfId="1884"/>
    <cellStyle name="40% - Accent2 11 3" xfId="867"/>
    <cellStyle name="40% - Accent2 11 3 2" xfId="1187"/>
    <cellStyle name="40% - Accent2 11 3 2 2" xfId="1628"/>
    <cellStyle name="40% - Accent2 11 3 3" xfId="1469"/>
    <cellStyle name="40% - Accent2 11 3 4" xfId="1028"/>
    <cellStyle name="40% - Accent2 11 3 5" xfId="1948"/>
    <cellStyle name="40% - Accent2 11 4" xfId="1081"/>
    <cellStyle name="40% - Accent2 11 4 2" xfId="1522"/>
    <cellStyle name="40% - Accent2 11 5" xfId="1363"/>
    <cellStyle name="40% - Accent2 11 6" xfId="922"/>
    <cellStyle name="40% - Accent2 11 7" xfId="1842"/>
    <cellStyle name="40% - Accent2 12" xfId="616"/>
    <cellStyle name="40% - Accent2 12 2" xfId="737"/>
    <cellStyle name="40% - Accent2 12 2 2" xfId="1136"/>
    <cellStyle name="40% - Accent2 12 2 2 2" xfId="1577"/>
    <cellStyle name="40% - Accent2 12 2 3" xfId="1418"/>
    <cellStyle name="40% - Accent2 12 2 4" xfId="977"/>
    <cellStyle name="40% - Accent2 12 2 5" xfId="1897"/>
    <cellStyle name="40% - Accent2 12 3" xfId="880"/>
    <cellStyle name="40% - Accent2 12 3 2" xfId="1200"/>
    <cellStyle name="40% - Accent2 12 3 2 2" xfId="1641"/>
    <cellStyle name="40% - Accent2 12 3 3" xfId="1482"/>
    <cellStyle name="40% - Accent2 12 3 4" xfId="1041"/>
    <cellStyle name="40% - Accent2 12 3 5" xfId="1961"/>
    <cellStyle name="40% - Accent2 12 4" xfId="1094"/>
    <cellStyle name="40% - Accent2 12 4 2" xfId="1535"/>
    <cellStyle name="40% - Accent2 12 5" xfId="1376"/>
    <cellStyle name="40% - Accent2 12 6" xfId="935"/>
    <cellStyle name="40% - Accent2 12 7" xfId="1855"/>
    <cellStyle name="40% - Accent2 13" xfId="750"/>
    <cellStyle name="40% - Accent2 13 2" xfId="893"/>
    <cellStyle name="40% - Accent2 13 2 2" xfId="1213"/>
    <cellStyle name="40% - Accent2 13 2 2 2" xfId="1654"/>
    <cellStyle name="40% - Accent2 13 2 3" xfId="1495"/>
    <cellStyle name="40% - Accent2 13 2 4" xfId="1054"/>
    <cellStyle name="40% - Accent2 13 2 5" xfId="1974"/>
    <cellStyle name="40% - Accent2 13 3" xfId="1149"/>
    <cellStyle name="40% - Accent2 13 3 2" xfId="1590"/>
    <cellStyle name="40% - Accent2 13 4" xfId="1431"/>
    <cellStyle name="40% - Accent2 13 5" xfId="990"/>
    <cellStyle name="40% - Accent2 13 6" xfId="1910"/>
    <cellStyle name="40% - Accent2 14" xfId="763"/>
    <cellStyle name="40% - Accent2 14 2" xfId="1162"/>
    <cellStyle name="40% - Accent2 14 2 2" xfId="1603"/>
    <cellStyle name="40% - Accent2 14 3" xfId="1444"/>
    <cellStyle name="40% - Accent2 14 4" xfId="1003"/>
    <cellStyle name="40% - Accent2 14 5" xfId="1923"/>
    <cellStyle name="40% - Accent2 15" xfId="138"/>
    <cellStyle name="40% - Accent2 15 2" xfId="1667"/>
    <cellStyle name="40% - Accent2 15 3" xfId="1226"/>
    <cellStyle name="40% - Accent2 16" xfId="1243"/>
    <cellStyle name="40% - Accent2 16 2" xfId="1683"/>
    <cellStyle name="40% - Accent2 17" xfId="1253"/>
    <cellStyle name="40% - Accent2 17 2" xfId="1693"/>
    <cellStyle name="40% - Accent2 18" xfId="1268"/>
    <cellStyle name="40% - Accent2 18 2" xfId="1706"/>
    <cellStyle name="40% - Accent2 19" xfId="1281"/>
    <cellStyle name="40% - Accent2 19 2" xfId="1719"/>
    <cellStyle name="40% - Accent2 2" xfId="140"/>
    <cellStyle name="40% - Accent2 20" xfId="1294"/>
    <cellStyle name="40% - Accent2 20 2" xfId="1732"/>
    <cellStyle name="40% - Accent2 21" xfId="1307"/>
    <cellStyle name="40% - Accent2 21 2" xfId="1745"/>
    <cellStyle name="40% - Accent2 22" xfId="1321"/>
    <cellStyle name="40% - Accent2 22 2" xfId="1759"/>
    <cellStyle name="40% - Accent2 23" xfId="1334"/>
    <cellStyle name="40% - Accent2 23 2" xfId="1772"/>
    <cellStyle name="40% - Accent2 24" xfId="1786"/>
    <cellStyle name="40% - Accent2 25" xfId="1801"/>
    <cellStyle name="40% - Accent2 26" xfId="1815"/>
    <cellStyle name="40% - Accent2 3" xfId="141"/>
    <cellStyle name="40% - Accent2 4" xfId="142"/>
    <cellStyle name="40% - Accent2 5" xfId="143"/>
    <cellStyle name="40% - Accent2 6" xfId="144"/>
    <cellStyle name="40% - Accent2 7" xfId="145"/>
    <cellStyle name="40% - Accent2 8" xfId="146"/>
    <cellStyle name="40% - Accent2 9" xfId="147"/>
    <cellStyle name="40% - Accent3 10" xfId="149"/>
    <cellStyle name="40% - Accent3 10 2" xfId="633"/>
    <cellStyle name="40% - Accent3 10 2 2" xfId="1111"/>
    <cellStyle name="40% - Accent3 10 2 2 2" xfId="1552"/>
    <cellStyle name="40% - Accent3 10 2 3" xfId="1393"/>
    <cellStyle name="40% - Accent3 10 2 4" xfId="952"/>
    <cellStyle name="40% - Accent3 10 2 5" xfId="1872"/>
    <cellStyle name="40% - Accent3 10 3" xfId="778"/>
    <cellStyle name="40% - Accent3 10 3 2" xfId="1177"/>
    <cellStyle name="40% - Accent3 10 3 2 2" xfId="1618"/>
    <cellStyle name="40% - Accent3 10 3 3" xfId="1459"/>
    <cellStyle name="40% - Accent3 10 3 4" xfId="1018"/>
    <cellStyle name="40% - Accent3 10 3 5" xfId="1938"/>
    <cellStyle name="40% - Accent3 10 4" xfId="1071"/>
    <cellStyle name="40% - Accent3 10 4 2" xfId="1512"/>
    <cellStyle name="40% - Accent3 10 5" xfId="1353"/>
    <cellStyle name="40% - Accent3 10 6" xfId="912"/>
    <cellStyle name="40% - Accent3 10 7" xfId="1832"/>
    <cellStyle name="40% - Accent3 11" xfId="605"/>
    <cellStyle name="40% - Accent3 11 2" xfId="726"/>
    <cellStyle name="40% - Accent3 11 2 2" xfId="1125"/>
    <cellStyle name="40% - Accent3 11 2 2 2" xfId="1566"/>
    <cellStyle name="40% - Accent3 11 2 3" xfId="1407"/>
    <cellStyle name="40% - Accent3 11 2 4" xfId="966"/>
    <cellStyle name="40% - Accent3 11 2 5" xfId="1886"/>
    <cellStyle name="40% - Accent3 11 3" xfId="869"/>
    <cellStyle name="40% - Accent3 11 3 2" xfId="1189"/>
    <cellStyle name="40% - Accent3 11 3 2 2" xfId="1630"/>
    <cellStyle name="40% - Accent3 11 3 3" xfId="1471"/>
    <cellStyle name="40% - Accent3 11 3 4" xfId="1030"/>
    <cellStyle name="40% - Accent3 11 3 5" xfId="1950"/>
    <cellStyle name="40% - Accent3 11 4" xfId="1083"/>
    <cellStyle name="40% - Accent3 11 4 2" xfId="1524"/>
    <cellStyle name="40% - Accent3 11 5" xfId="1365"/>
    <cellStyle name="40% - Accent3 11 6" xfId="924"/>
    <cellStyle name="40% - Accent3 11 7" xfId="1844"/>
    <cellStyle name="40% - Accent3 12" xfId="618"/>
    <cellStyle name="40% - Accent3 12 2" xfId="739"/>
    <cellStyle name="40% - Accent3 12 2 2" xfId="1138"/>
    <cellStyle name="40% - Accent3 12 2 2 2" xfId="1579"/>
    <cellStyle name="40% - Accent3 12 2 3" xfId="1420"/>
    <cellStyle name="40% - Accent3 12 2 4" xfId="979"/>
    <cellStyle name="40% - Accent3 12 2 5" xfId="1899"/>
    <cellStyle name="40% - Accent3 12 3" xfId="882"/>
    <cellStyle name="40% - Accent3 12 3 2" xfId="1202"/>
    <cellStyle name="40% - Accent3 12 3 2 2" xfId="1643"/>
    <cellStyle name="40% - Accent3 12 3 3" xfId="1484"/>
    <cellStyle name="40% - Accent3 12 3 4" xfId="1043"/>
    <cellStyle name="40% - Accent3 12 3 5" xfId="1963"/>
    <cellStyle name="40% - Accent3 12 4" xfId="1096"/>
    <cellStyle name="40% - Accent3 12 4 2" xfId="1537"/>
    <cellStyle name="40% - Accent3 12 5" xfId="1378"/>
    <cellStyle name="40% - Accent3 12 6" xfId="937"/>
    <cellStyle name="40% - Accent3 12 7" xfId="1857"/>
    <cellStyle name="40% - Accent3 13" xfId="752"/>
    <cellStyle name="40% - Accent3 13 2" xfId="895"/>
    <cellStyle name="40% - Accent3 13 2 2" xfId="1215"/>
    <cellStyle name="40% - Accent3 13 2 2 2" xfId="1656"/>
    <cellStyle name="40% - Accent3 13 2 3" xfId="1497"/>
    <cellStyle name="40% - Accent3 13 2 4" xfId="1056"/>
    <cellStyle name="40% - Accent3 13 2 5" xfId="1976"/>
    <cellStyle name="40% - Accent3 13 3" xfId="1151"/>
    <cellStyle name="40% - Accent3 13 3 2" xfId="1592"/>
    <cellStyle name="40% - Accent3 13 4" xfId="1433"/>
    <cellStyle name="40% - Accent3 13 5" xfId="992"/>
    <cellStyle name="40% - Accent3 13 6" xfId="1912"/>
    <cellStyle name="40% - Accent3 14" xfId="765"/>
    <cellStyle name="40% - Accent3 14 2" xfId="1164"/>
    <cellStyle name="40% - Accent3 14 2 2" xfId="1605"/>
    <cellStyle name="40% - Accent3 14 3" xfId="1446"/>
    <cellStyle name="40% - Accent3 14 4" xfId="1005"/>
    <cellStyle name="40% - Accent3 14 5" xfId="1925"/>
    <cellStyle name="40% - Accent3 15" xfId="148"/>
    <cellStyle name="40% - Accent3 15 2" xfId="1669"/>
    <cellStyle name="40% - Accent3 15 3" xfId="1228"/>
    <cellStyle name="40% - Accent3 16" xfId="1244"/>
    <cellStyle name="40% - Accent3 16 2" xfId="1684"/>
    <cellStyle name="40% - Accent3 17" xfId="1255"/>
    <cellStyle name="40% - Accent3 17 2" xfId="1695"/>
    <cellStyle name="40% - Accent3 18" xfId="1270"/>
    <cellStyle name="40% - Accent3 18 2" xfId="1708"/>
    <cellStyle name="40% - Accent3 19" xfId="1283"/>
    <cellStyle name="40% - Accent3 19 2" xfId="1721"/>
    <cellStyle name="40% - Accent3 2" xfId="150"/>
    <cellStyle name="40% - Accent3 20" xfId="1296"/>
    <cellStyle name="40% - Accent3 20 2" xfId="1734"/>
    <cellStyle name="40% - Accent3 21" xfId="1309"/>
    <cellStyle name="40% - Accent3 21 2" xfId="1747"/>
    <cellStyle name="40% - Accent3 22" xfId="1323"/>
    <cellStyle name="40% - Accent3 22 2" xfId="1761"/>
    <cellStyle name="40% - Accent3 23" xfId="1336"/>
    <cellStyle name="40% - Accent3 23 2" xfId="1774"/>
    <cellStyle name="40% - Accent3 24" xfId="1788"/>
    <cellStyle name="40% - Accent3 25" xfId="1803"/>
    <cellStyle name="40% - Accent3 26" xfId="1817"/>
    <cellStyle name="40% - Accent3 3" xfId="151"/>
    <cellStyle name="40% - Accent3 4" xfId="152"/>
    <cellStyle name="40% - Accent3 5" xfId="153"/>
    <cellStyle name="40% - Accent3 6" xfId="154"/>
    <cellStyle name="40% - Accent3 7" xfId="155"/>
    <cellStyle name="40% - Accent3 8" xfId="156"/>
    <cellStyle name="40% - Accent3 9" xfId="157"/>
    <cellStyle name="40% - Accent4 10" xfId="159"/>
    <cellStyle name="40% - Accent4 10 2" xfId="634"/>
    <cellStyle name="40% - Accent4 10 2 2" xfId="1112"/>
    <cellStyle name="40% - Accent4 10 2 2 2" xfId="1553"/>
    <cellStyle name="40% - Accent4 10 2 3" xfId="1394"/>
    <cellStyle name="40% - Accent4 10 2 4" xfId="953"/>
    <cellStyle name="40% - Accent4 10 2 5" xfId="1873"/>
    <cellStyle name="40% - Accent4 10 3" xfId="779"/>
    <cellStyle name="40% - Accent4 10 3 2" xfId="1178"/>
    <cellStyle name="40% - Accent4 10 3 2 2" xfId="1619"/>
    <cellStyle name="40% - Accent4 10 3 3" xfId="1460"/>
    <cellStyle name="40% - Accent4 10 3 4" xfId="1019"/>
    <cellStyle name="40% - Accent4 10 3 5" xfId="1939"/>
    <cellStyle name="40% - Accent4 10 4" xfId="1072"/>
    <cellStyle name="40% - Accent4 10 4 2" xfId="1513"/>
    <cellStyle name="40% - Accent4 10 5" xfId="1354"/>
    <cellStyle name="40% - Accent4 10 6" xfId="913"/>
    <cellStyle name="40% - Accent4 10 7" xfId="1833"/>
    <cellStyle name="40% - Accent4 11" xfId="607"/>
    <cellStyle name="40% - Accent4 11 2" xfId="728"/>
    <cellStyle name="40% - Accent4 11 2 2" xfId="1127"/>
    <cellStyle name="40% - Accent4 11 2 2 2" xfId="1568"/>
    <cellStyle name="40% - Accent4 11 2 3" xfId="1409"/>
    <cellStyle name="40% - Accent4 11 2 4" xfId="968"/>
    <cellStyle name="40% - Accent4 11 2 5" xfId="1888"/>
    <cellStyle name="40% - Accent4 11 3" xfId="871"/>
    <cellStyle name="40% - Accent4 11 3 2" xfId="1191"/>
    <cellStyle name="40% - Accent4 11 3 2 2" xfId="1632"/>
    <cellStyle name="40% - Accent4 11 3 3" xfId="1473"/>
    <cellStyle name="40% - Accent4 11 3 4" xfId="1032"/>
    <cellStyle name="40% - Accent4 11 3 5" xfId="1952"/>
    <cellStyle name="40% - Accent4 11 4" xfId="1085"/>
    <cellStyle name="40% - Accent4 11 4 2" xfId="1526"/>
    <cellStyle name="40% - Accent4 11 5" xfId="1367"/>
    <cellStyle name="40% - Accent4 11 6" xfId="926"/>
    <cellStyle name="40% - Accent4 11 7" xfId="1846"/>
    <cellStyle name="40% - Accent4 12" xfId="620"/>
    <cellStyle name="40% - Accent4 12 2" xfId="741"/>
    <cellStyle name="40% - Accent4 12 2 2" xfId="1140"/>
    <cellStyle name="40% - Accent4 12 2 2 2" xfId="1581"/>
    <cellStyle name="40% - Accent4 12 2 3" xfId="1422"/>
    <cellStyle name="40% - Accent4 12 2 4" xfId="981"/>
    <cellStyle name="40% - Accent4 12 2 5" xfId="1901"/>
    <cellStyle name="40% - Accent4 12 3" xfId="884"/>
    <cellStyle name="40% - Accent4 12 3 2" xfId="1204"/>
    <cellStyle name="40% - Accent4 12 3 2 2" xfId="1645"/>
    <cellStyle name="40% - Accent4 12 3 3" xfId="1486"/>
    <cellStyle name="40% - Accent4 12 3 4" xfId="1045"/>
    <cellStyle name="40% - Accent4 12 3 5" xfId="1965"/>
    <cellStyle name="40% - Accent4 12 4" xfId="1098"/>
    <cellStyle name="40% - Accent4 12 4 2" xfId="1539"/>
    <cellStyle name="40% - Accent4 12 5" xfId="1380"/>
    <cellStyle name="40% - Accent4 12 6" xfId="939"/>
    <cellStyle name="40% - Accent4 12 7" xfId="1859"/>
    <cellStyle name="40% - Accent4 13" xfId="754"/>
    <cellStyle name="40% - Accent4 13 2" xfId="897"/>
    <cellStyle name="40% - Accent4 13 2 2" xfId="1217"/>
    <cellStyle name="40% - Accent4 13 2 2 2" xfId="1658"/>
    <cellStyle name="40% - Accent4 13 2 3" xfId="1499"/>
    <cellStyle name="40% - Accent4 13 2 4" xfId="1058"/>
    <cellStyle name="40% - Accent4 13 2 5" xfId="1978"/>
    <cellStyle name="40% - Accent4 13 3" xfId="1153"/>
    <cellStyle name="40% - Accent4 13 3 2" xfId="1594"/>
    <cellStyle name="40% - Accent4 13 4" xfId="1435"/>
    <cellStyle name="40% - Accent4 13 5" xfId="994"/>
    <cellStyle name="40% - Accent4 13 6" xfId="1914"/>
    <cellStyle name="40% - Accent4 14" xfId="767"/>
    <cellStyle name="40% - Accent4 14 2" xfId="1166"/>
    <cellStyle name="40% - Accent4 14 2 2" xfId="1607"/>
    <cellStyle name="40% - Accent4 14 3" xfId="1448"/>
    <cellStyle name="40% - Accent4 14 4" xfId="1007"/>
    <cellStyle name="40% - Accent4 14 5" xfId="1927"/>
    <cellStyle name="40% - Accent4 15" xfId="158"/>
    <cellStyle name="40% - Accent4 15 2" xfId="1671"/>
    <cellStyle name="40% - Accent4 15 3" xfId="1230"/>
    <cellStyle name="40% - Accent4 16" xfId="1245"/>
    <cellStyle name="40% - Accent4 16 2" xfId="1685"/>
    <cellStyle name="40% - Accent4 17" xfId="1257"/>
    <cellStyle name="40% - Accent4 17 2" xfId="1697"/>
    <cellStyle name="40% - Accent4 18" xfId="1272"/>
    <cellStyle name="40% - Accent4 18 2" xfId="1710"/>
    <cellStyle name="40% - Accent4 19" xfId="1285"/>
    <cellStyle name="40% - Accent4 19 2" xfId="1723"/>
    <cellStyle name="40% - Accent4 2" xfId="160"/>
    <cellStyle name="40% - Accent4 20" xfId="1298"/>
    <cellStyle name="40% - Accent4 20 2" xfId="1736"/>
    <cellStyle name="40% - Accent4 21" xfId="1311"/>
    <cellStyle name="40% - Accent4 21 2" xfId="1749"/>
    <cellStyle name="40% - Accent4 22" xfId="1325"/>
    <cellStyle name="40% - Accent4 22 2" xfId="1763"/>
    <cellStyle name="40% - Accent4 23" xfId="1338"/>
    <cellStyle name="40% - Accent4 23 2" xfId="1776"/>
    <cellStyle name="40% - Accent4 24" xfId="1790"/>
    <cellStyle name="40% - Accent4 25" xfId="1805"/>
    <cellStyle name="40% - Accent4 26" xfId="1819"/>
    <cellStyle name="40% - Accent4 3" xfId="161"/>
    <cellStyle name="40% - Accent4 4" xfId="162"/>
    <cellStyle name="40% - Accent4 5" xfId="163"/>
    <cellStyle name="40% - Accent4 6" xfId="164"/>
    <cellStyle name="40% - Accent4 7" xfId="165"/>
    <cellStyle name="40% - Accent4 8" xfId="166"/>
    <cellStyle name="40% - Accent4 9" xfId="167"/>
    <cellStyle name="40% - Accent5 10" xfId="169"/>
    <cellStyle name="40% - Accent5 10 2" xfId="635"/>
    <cellStyle name="40% - Accent5 10 2 2" xfId="1113"/>
    <cellStyle name="40% - Accent5 10 2 2 2" xfId="1554"/>
    <cellStyle name="40% - Accent5 10 2 3" xfId="1395"/>
    <cellStyle name="40% - Accent5 10 2 4" xfId="954"/>
    <cellStyle name="40% - Accent5 10 2 5" xfId="1874"/>
    <cellStyle name="40% - Accent5 10 3" xfId="780"/>
    <cellStyle name="40% - Accent5 10 3 2" xfId="1179"/>
    <cellStyle name="40% - Accent5 10 3 2 2" xfId="1620"/>
    <cellStyle name="40% - Accent5 10 3 3" xfId="1461"/>
    <cellStyle name="40% - Accent5 10 3 4" xfId="1020"/>
    <cellStyle name="40% - Accent5 10 3 5" xfId="1940"/>
    <cellStyle name="40% - Accent5 10 4" xfId="1073"/>
    <cellStyle name="40% - Accent5 10 4 2" xfId="1514"/>
    <cellStyle name="40% - Accent5 10 5" xfId="1355"/>
    <cellStyle name="40% - Accent5 10 6" xfId="914"/>
    <cellStyle name="40% - Accent5 10 7" xfId="1834"/>
    <cellStyle name="40% - Accent5 11" xfId="609"/>
    <cellStyle name="40% - Accent5 11 2" xfId="730"/>
    <cellStyle name="40% - Accent5 11 2 2" xfId="1129"/>
    <cellStyle name="40% - Accent5 11 2 2 2" xfId="1570"/>
    <cellStyle name="40% - Accent5 11 2 3" xfId="1411"/>
    <cellStyle name="40% - Accent5 11 2 4" xfId="970"/>
    <cellStyle name="40% - Accent5 11 2 5" xfId="1890"/>
    <cellStyle name="40% - Accent5 11 3" xfId="873"/>
    <cellStyle name="40% - Accent5 11 3 2" xfId="1193"/>
    <cellStyle name="40% - Accent5 11 3 2 2" xfId="1634"/>
    <cellStyle name="40% - Accent5 11 3 3" xfId="1475"/>
    <cellStyle name="40% - Accent5 11 3 4" xfId="1034"/>
    <cellStyle name="40% - Accent5 11 3 5" xfId="1954"/>
    <cellStyle name="40% - Accent5 11 4" xfId="1087"/>
    <cellStyle name="40% - Accent5 11 4 2" xfId="1528"/>
    <cellStyle name="40% - Accent5 11 5" xfId="1369"/>
    <cellStyle name="40% - Accent5 11 6" xfId="928"/>
    <cellStyle name="40% - Accent5 11 7" xfId="1848"/>
    <cellStyle name="40% - Accent5 12" xfId="622"/>
    <cellStyle name="40% - Accent5 12 2" xfId="743"/>
    <cellStyle name="40% - Accent5 12 2 2" xfId="1142"/>
    <cellStyle name="40% - Accent5 12 2 2 2" xfId="1583"/>
    <cellStyle name="40% - Accent5 12 2 3" xfId="1424"/>
    <cellStyle name="40% - Accent5 12 2 4" xfId="983"/>
    <cellStyle name="40% - Accent5 12 2 5" xfId="1903"/>
    <cellStyle name="40% - Accent5 12 3" xfId="886"/>
    <cellStyle name="40% - Accent5 12 3 2" xfId="1206"/>
    <cellStyle name="40% - Accent5 12 3 2 2" xfId="1647"/>
    <cellStyle name="40% - Accent5 12 3 3" xfId="1488"/>
    <cellStyle name="40% - Accent5 12 3 4" xfId="1047"/>
    <cellStyle name="40% - Accent5 12 3 5" xfId="1967"/>
    <cellStyle name="40% - Accent5 12 4" xfId="1100"/>
    <cellStyle name="40% - Accent5 12 4 2" xfId="1541"/>
    <cellStyle name="40% - Accent5 12 5" xfId="1382"/>
    <cellStyle name="40% - Accent5 12 6" xfId="941"/>
    <cellStyle name="40% - Accent5 12 7" xfId="1861"/>
    <cellStyle name="40% - Accent5 13" xfId="756"/>
    <cellStyle name="40% - Accent5 13 2" xfId="899"/>
    <cellStyle name="40% - Accent5 13 2 2" xfId="1219"/>
    <cellStyle name="40% - Accent5 13 2 2 2" xfId="1660"/>
    <cellStyle name="40% - Accent5 13 2 3" xfId="1501"/>
    <cellStyle name="40% - Accent5 13 2 4" xfId="1060"/>
    <cellStyle name="40% - Accent5 13 2 5" xfId="1980"/>
    <cellStyle name="40% - Accent5 13 3" xfId="1155"/>
    <cellStyle name="40% - Accent5 13 3 2" xfId="1596"/>
    <cellStyle name="40% - Accent5 13 4" xfId="1437"/>
    <cellStyle name="40% - Accent5 13 5" xfId="996"/>
    <cellStyle name="40% - Accent5 13 6" xfId="1916"/>
    <cellStyle name="40% - Accent5 14" xfId="769"/>
    <cellStyle name="40% - Accent5 14 2" xfId="1168"/>
    <cellStyle name="40% - Accent5 14 2 2" xfId="1609"/>
    <cellStyle name="40% - Accent5 14 3" xfId="1450"/>
    <cellStyle name="40% - Accent5 14 4" xfId="1009"/>
    <cellStyle name="40% - Accent5 14 5" xfId="1929"/>
    <cellStyle name="40% - Accent5 15" xfId="168"/>
    <cellStyle name="40% - Accent5 15 2" xfId="1673"/>
    <cellStyle name="40% - Accent5 15 3" xfId="1232"/>
    <cellStyle name="40% - Accent5 16" xfId="1246"/>
    <cellStyle name="40% - Accent5 16 2" xfId="1686"/>
    <cellStyle name="40% - Accent5 17" xfId="1259"/>
    <cellStyle name="40% - Accent5 17 2" xfId="1699"/>
    <cellStyle name="40% - Accent5 18" xfId="1274"/>
    <cellStyle name="40% - Accent5 18 2" xfId="1712"/>
    <cellStyle name="40% - Accent5 19" xfId="1287"/>
    <cellStyle name="40% - Accent5 19 2" xfId="1725"/>
    <cellStyle name="40% - Accent5 2" xfId="170"/>
    <cellStyle name="40% - Accent5 20" xfId="1300"/>
    <cellStyle name="40% - Accent5 20 2" xfId="1738"/>
    <cellStyle name="40% - Accent5 21" xfId="1313"/>
    <cellStyle name="40% - Accent5 21 2" xfId="1751"/>
    <cellStyle name="40% - Accent5 22" xfId="1327"/>
    <cellStyle name="40% - Accent5 22 2" xfId="1765"/>
    <cellStyle name="40% - Accent5 23" xfId="1340"/>
    <cellStyle name="40% - Accent5 23 2" xfId="1778"/>
    <cellStyle name="40% - Accent5 24" xfId="1792"/>
    <cellStyle name="40% - Accent5 25" xfId="1807"/>
    <cellStyle name="40% - Accent5 26" xfId="1821"/>
    <cellStyle name="40% - Accent5 3" xfId="171"/>
    <cellStyle name="40% - Accent5 4" xfId="172"/>
    <cellStyle name="40% - Accent5 5" xfId="173"/>
    <cellStyle name="40% - Accent5 6" xfId="174"/>
    <cellStyle name="40% - Accent5 7" xfId="175"/>
    <cellStyle name="40% - Accent5 8" xfId="176"/>
    <cellStyle name="40% - Accent5 9" xfId="177"/>
    <cellStyle name="40% - Accent6 10" xfId="179"/>
    <cellStyle name="40% - Accent6 10 2" xfId="636"/>
    <cellStyle name="40% - Accent6 10 2 2" xfId="1114"/>
    <cellStyle name="40% - Accent6 10 2 2 2" xfId="1555"/>
    <cellStyle name="40% - Accent6 10 2 3" xfId="1396"/>
    <cellStyle name="40% - Accent6 10 2 4" xfId="955"/>
    <cellStyle name="40% - Accent6 10 2 5" xfId="1875"/>
    <cellStyle name="40% - Accent6 10 3" xfId="781"/>
    <cellStyle name="40% - Accent6 10 3 2" xfId="1180"/>
    <cellStyle name="40% - Accent6 10 3 2 2" xfId="1621"/>
    <cellStyle name="40% - Accent6 10 3 3" xfId="1462"/>
    <cellStyle name="40% - Accent6 10 3 4" xfId="1021"/>
    <cellStyle name="40% - Accent6 10 3 5" xfId="1941"/>
    <cellStyle name="40% - Accent6 10 4" xfId="1074"/>
    <cellStyle name="40% - Accent6 10 4 2" xfId="1515"/>
    <cellStyle name="40% - Accent6 10 5" xfId="1356"/>
    <cellStyle name="40% - Accent6 10 6" xfId="915"/>
    <cellStyle name="40% - Accent6 10 7" xfId="1835"/>
    <cellStyle name="40% - Accent6 11" xfId="611"/>
    <cellStyle name="40% - Accent6 11 2" xfId="732"/>
    <cellStyle name="40% - Accent6 11 2 2" xfId="1131"/>
    <cellStyle name="40% - Accent6 11 2 2 2" xfId="1572"/>
    <cellStyle name="40% - Accent6 11 2 3" xfId="1413"/>
    <cellStyle name="40% - Accent6 11 2 4" xfId="972"/>
    <cellStyle name="40% - Accent6 11 2 5" xfId="1892"/>
    <cellStyle name="40% - Accent6 11 3" xfId="875"/>
    <cellStyle name="40% - Accent6 11 3 2" xfId="1195"/>
    <cellStyle name="40% - Accent6 11 3 2 2" xfId="1636"/>
    <cellStyle name="40% - Accent6 11 3 3" xfId="1477"/>
    <cellStyle name="40% - Accent6 11 3 4" xfId="1036"/>
    <cellStyle name="40% - Accent6 11 3 5" xfId="1956"/>
    <cellStyle name="40% - Accent6 11 4" xfId="1089"/>
    <cellStyle name="40% - Accent6 11 4 2" xfId="1530"/>
    <cellStyle name="40% - Accent6 11 5" xfId="1371"/>
    <cellStyle name="40% - Accent6 11 6" xfId="930"/>
    <cellStyle name="40% - Accent6 11 7" xfId="1850"/>
    <cellStyle name="40% - Accent6 12" xfId="624"/>
    <cellStyle name="40% - Accent6 12 2" xfId="745"/>
    <cellStyle name="40% - Accent6 12 2 2" xfId="1144"/>
    <cellStyle name="40% - Accent6 12 2 2 2" xfId="1585"/>
    <cellStyle name="40% - Accent6 12 2 3" xfId="1426"/>
    <cellStyle name="40% - Accent6 12 2 4" xfId="985"/>
    <cellStyle name="40% - Accent6 12 2 5" xfId="1905"/>
    <cellStyle name="40% - Accent6 12 3" xfId="888"/>
    <cellStyle name="40% - Accent6 12 3 2" xfId="1208"/>
    <cellStyle name="40% - Accent6 12 3 2 2" xfId="1649"/>
    <cellStyle name="40% - Accent6 12 3 3" xfId="1490"/>
    <cellStyle name="40% - Accent6 12 3 4" xfId="1049"/>
    <cellStyle name="40% - Accent6 12 3 5" xfId="1969"/>
    <cellStyle name="40% - Accent6 12 4" xfId="1102"/>
    <cellStyle name="40% - Accent6 12 4 2" xfId="1543"/>
    <cellStyle name="40% - Accent6 12 5" xfId="1384"/>
    <cellStyle name="40% - Accent6 12 6" xfId="943"/>
    <cellStyle name="40% - Accent6 12 7" xfId="1863"/>
    <cellStyle name="40% - Accent6 13" xfId="758"/>
    <cellStyle name="40% - Accent6 13 2" xfId="901"/>
    <cellStyle name="40% - Accent6 13 2 2" xfId="1221"/>
    <cellStyle name="40% - Accent6 13 2 2 2" xfId="1662"/>
    <cellStyle name="40% - Accent6 13 2 3" xfId="1503"/>
    <cellStyle name="40% - Accent6 13 2 4" xfId="1062"/>
    <cellStyle name="40% - Accent6 13 2 5" xfId="1982"/>
    <cellStyle name="40% - Accent6 13 3" xfId="1157"/>
    <cellStyle name="40% - Accent6 13 3 2" xfId="1598"/>
    <cellStyle name="40% - Accent6 13 4" xfId="1439"/>
    <cellStyle name="40% - Accent6 13 5" xfId="998"/>
    <cellStyle name="40% - Accent6 13 6" xfId="1918"/>
    <cellStyle name="40% - Accent6 14" xfId="771"/>
    <cellStyle name="40% - Accent6 14 2" xfId="1170"/>
    <cellStyle name="40% - Accent6 14 2 2" xfId="1611"/>
    <cellStyle name="40% - Accent6 14 3" xfId="1452"/>
    <cellStyle name="40% - Accent6 14 4" xfId="1011"/>
    <cellStyle name="40% - Accent6 14 5" xfId="1931"/>
    <cellStyle name="40% - Accent6 15" xfId="178"/>
    <cellStyle name="40% - Accent6 15 2" xfId="1675"/>
    <cellStyle name="40% - Accent6 15 3" xfId="1234"/>
    <cellStyle name="40% - Accent6 16" xfId="1247"/>
    <cellStyle name="40% - Accent6 16 2" xfId="1687"/>
    <cellStyle name="40% - Accent6 17" xfId="1261"/>
    <cellStyle name="40% - Accent6 17 2" xfId="1701"/>
    <cellStyle name="40% - Accent6 18" xfId="1276"/>
    <cellStyle name="40% - Accent6 18 2" xfId="1714"/>
    <cellStyle name="40% - Accent6 19" xfId="1289"/>
    <cellStyle name="40% - Accent6 19 2" xfId="1727"/>
    <cellStyle name="40% - Accent6 2" xfId="180"/>
    <cellStyle name="40% - Accent6 20" xfId="1302"/>
    <cellStyle name="40% - Accent6 20 2" xfId="1740"/>
    <cellStyle name="40% - Accent6 21" xfId="1315"/>
    <cellStyle name="40% - Accent6 21 2" xfId="1753"/>
    <cellStyle name="40% - Accent6 22" xfId="1329"/>
    <cellStyle name="40% - Accent6 22 2" xfId="1767"/>
    <cellStyle name="40% - Accent6 23" xfId="1342"/>
    <cellStyle name="40% - Accent6 23 2" xfId="1780"/>
    <cellStyle name="40% - Accent6 24" xfId="1794"/>
    <cellStyle name="40% - Accent6 25" xfId="1809"/>
    <cellStyle name="40% - Accent6 26" xfId="1823"/>
    <cellStyle name="40% - Accent6 3" xfId="181"/>
    <cellStyle name="40% - Accent6 4" xfId="182"/>
    <cellStyle name="40% - Accent6 5" xfId="183"/>
    <cellStyle name="40% - Accent6 6" xfId="184"/>
    <cellStyle name="40% - Accent6 7" xfId="185"/>
    <cellStyle name="40% - Accent6 8" xfId="186"/>
    <cellStyle name="40% - Accent6 9" xfId="187"/>
    <cellStyle name="60% - Accent1 2" xfId="189"/>
    <cellStyle name="60% - Accent1 3" xfId="188"/>
    <cellStyle name="60% - Accent2 2" xfId="191"/>
    <cellStyle name="60% - Accent2 3" xfId="190"/>
    <cellStyle name="60% - Accent3 2" xfId="193"/>
    <cellStyle name="60% - Accent3 3" xfId="192"/>
    <cellStyle name="60% - Accent4 2" xfId="195"/>
    <cellStyle name="60% - Accent4 3" xfId="194"/>
    <cellStyle name="60% - Accent5 2" xfId="197"/>
    <cellStyle name="60% - Accent5 3" xfId="196"/>
    <cellStyle name="60% - Accent6 2" xfId="199"/>
    <cellStyle name="60% - Accent6 3" xfId="198"/>
    <cellStyle name="7Mini" xfId="5"/>
    <cellStyle name="Accent1 2" xfId="201"/>
    <cellStyle name="Accent1 3" xfId="200"/>
    <cellStyle name="Accent2 2" xfId="203"/>
    <cellStyle name="Accent2 3" xfId="202"/>
    <cellStyle name="Accent3 2" xfId="205"/>
    <cellStyle name="Accent3 3" xfId="204"/>
    <cellStyle name="Accent4 2" xfId="207"/>
    <cellStyle name="Accent4 3" xfId="206"/>
    <cellStyle name="Accent5 2" xfId="209"/>
    <cellStyle name="Accent5 3" xfId="208"/>
    <cellStyle name="Accent6 2" xfId="211"/>
    <cellStyle name="Accent6 3" xfId="210"/>
    <cellStyle name="Bad 2" xfId="213"/>
    <cellStyle name="Bad 3" xfId="212"/>
    <cellStyle name="C" xfId="6"/>
    <cellStyle name="Calculation 2" xfId="215"/>
    <cellStyle name="Calculation 3" xfId="214"/>
    <cellStyle name="Check Cell 2" xfId="217"/>
    <cellStyle name="Check Cell 3" xfId="216"/>
    <cellStyle name="Comma" xfId="7" builtinId="3"/>
    <cellStyle name="Comma 10" xfId="219"/>
    <cellStyle name="Comma 10 2" xfId="220"/>
    <cellStyle name="Comma 10 2 2" xfId="638"/>
    <cellStyle name="Comma 10 2 3" xfId="783"/>
    <cellStyle name="Comma 10 3" xfId="637"/>
    <cellStyle name="Comma 10 4" xfId="782"/>
    <cellStyle name="Comma 11" xfId="221"/>
    <cellStyle name="Comma 11 2" xfId="639"/>
    <cellStyle name="Comma 11 3" xfId="784"/>
    <cellStyle name="Comma 12" xfId="218"/>
    <cellStyle name="Comma 19" xfId="903"/>
    <cellStyle name="Comma 2" xfId="222"/>
    <cellStyle name="Comma 24" xfId="1235"/>
    <cellStyle name="Comma 26" xfId="1263"/>
    <cellStyle name="Comma 27" xfId="1344"/>
    <cellStyle name="Comma 28" xfId="1795"/>
    <cellStyle name="Comma 3" xfId="223"/>
    <cellStyle name="Comma 3 2" xfId="224"/>
    <cellStyle name="Comma 4" xfId="225"/>
    <cellStyle name="Comma 4 2" xfId="226"/>
    <cellStyle name="Comma 5" xfId="227"/>
    <cellStyle name="Comma 5 2" xfId="228"/>
    <cellStyle name="Comma 5 2 2" xfId="229"/>
    <cellStyle name="Comma 5 2 2 2" xfId="230"/>
    <cellStyle name="Comma 5 2 2 2 2" xfId="643"/>
    <cellStyle name="Comma 5 2 2 2 3" xfId="788"/>
    <cellStyle name="Comma 5 2 2 3" xfId="642"/>
    <cellStyle name="Comma 5 2 2 4" xfId="787"/>
    <cellStyle name="Comma 5 2 3" xfId="231"/>
    <cellStyle name="Comma 5 2 3 2" xfId="644"/>
    <cellStyle name="Comma 5 2 3 3" xfId="789"/>
    <cellStyle name="Comma 5 2 4" xfId="641"/>
    <cellStyle name="Comma 5 2 5" xfId="786"/>
    <cellStyle name="Comma 5 3" xfId="232"/>
    <cellStyle name="Comma 5 3 2" xfId="233"/>
    <cellStyle name="Comma 5 3 2 2" xfId="646"/>
    <cellStyle name="Comma 5 3 2 3" xfId="791"/>
    <cellStyle name="Comma 5 3 3" xfId="645"/>
    <cellStyle name="Comma 5 3 4" xfId="790"/>
    <cellStyle name="Comma 5 4" xfId="234"/>
    <cellStyle name="Comma 5 4 2" xfId="647"/>
    <cellStyle name="Comma 5 4 3" xfId="792"/>
    <cellStyle name="Comma 5 5" xfId="640"/>
    <cellStyle name="Comma 5 6" xfId="785"/>
    <cellStyle name="Comma 6" xfId="235"/>
    <cellStyle name="Comma 6 2" xfId="236"/>
    <cellStyle name="Comma 7" xfId="237"/>
    <cellStyle name="Comma 8" xfId="238"/>
    <cellStyle name="Comma 8 2" xfId="239"/>
    <cellStyle name="Comma 9" xfId="240"/>
    <cellStyle name="Comma 9 2" xfId="241"/>
    <cellStyle name="Comma 9 2 2" xfId="649"/>
    <cellStyle name="Comma 9 2 3" xfId="794"/>
    <cellStyle name="Comma 9 3" xfId="648"/>
    <cellStyle name="Comma 9 4" xfId="793"/>
    <cellStyle name="Comma0 - Modelo1" xfId="8"/>
    <cellStyle name="Comma0 - Style1" xfId="9"/>
    <cellStyle name="Comma1 - Modelo2" xfId="10"/>
    <cellStyle name="Comma1 - Style2" xfId="11"/>
    <cellStyle name="Dia" xfId="12"/>
    <cellStyle name="Encabez1" xfId="13"/>
    <cellStyle name="Encabez2" xfId="14"/>
    <cellStyle name="Estimat" xfId="15"/>
    <cellStyle name="Explanatory Text" xfId="67" builtinId="53" customBuiltin="1"/>
    <cellStyle name="Forudsætning" xfId="16"/>
    <cellStyle name="Forudsætning 2" xfId="242"/>
    <cellStyle name="Good 2" xfId="244"/>
    <cellStyle name="Good 3" xfId="243"/>
    <cellStyle name="Header 1" xfId="17"/>
    <cellStyle name="Header 1 Left" xfId="18"/>
    <cellStyle name="Header 1 Left 2" xfId="245"/>
    <cellStyle name="Header 1(box)" xfId="19"/>
    <cellStyle name="Header 1(middle)" xfId="20"/>
    <cellStyle name="Header 1_Front Page" xfId="21"/>
    <cellStyle name="Header 2" xfId="22"/>
    <cellStyle name="Header Price 1" xfId="23"/>
    <cellStyle name="Header Price 1 2" xfId="246"/>
    <cellStyle name="Header Price 2" xfId="24"/>
    <cellStyle name="Header Price 2 2" xfId="248"/>
    <cellStyle name="Header Price 2 3" xfId="247"/>
    <cellStyle name="Heading 1" xfId="25"/>
    <cellStyle name="Heading 1 2" xfId="249"/>
    <cellStyle name="Heading 1 3" xfId="250"/>
    <cellStyle name="Heading 1 4" xfId="251"/>
    <cellStyle name="Heading 2" xfId="26"/>
    <cellStyle name="Heading 2 2" xfId="252"/>
    <cellStyle name="Heading 2 3" xfId="253"/>
    <cellStyle name="Heading 2 4" xfId="254"/>
    <cellStyle name="Heading 3 2" xfId="256"/>
    <cellStyle name="Heading 3 3" xfId="255"/>
    <cellStyle name="Heading 4" xfId="66" builtinId="19" customBuiltin="1"/>
    <cellStyle name="Helv 8" xfId="27"/>
    <cellStyle name="Input 2" xfId="258"/>
    <cellStyle name="Input 3" xfId="257"/>
    <cellStyle name="Kolonne" xfId="259"/>
    <cellStyle name="Komma 2" xfId="1984"/>
    <cellStyle name="Komma 2 2" xfId="1985"/>
    <cellStyle name="Komma 3" xfId="1986"/>
    <cellStyle name="Linked Cell 2" xfId="261"/>
    <cellStyle name="Linked Cell 3" xfId="260"/>
    <cellStyle name="n" xfId="28"/>
    <cellStyle name="n 2" xfId="262"/>
    <cellStyle name="n_CashF and Ratios" xfId="29"/>
    <cellStyle name="n_CashF and Ratios 2" xfId="263"/>
    <cellStyle name="n_CashF and Ratios_1" xfId="30"/>
    <cellStyle name="n_full year table" xfId="31"/>
    <cellStyle name="n_full year table 2" xfId="264"/>
    <cellStyle name="n_full year table_1" xfId="32"/>
    <cellStyle name="n_half year upd" xfId="33"/>
    <cellStyle name="n_IS (functional) and BS " xfId="34"/>
    <cellStyle name="n_IS (traditional) and BS " xfId="35"/>
    <cellStyle name="n_IS (traditional) and BS  2" xfId="265"/>
    <cellStyle name="n_page 1" xfId="36"/>
    <cellStyle name="n_page 1_CashF and Ratios" xfId="37"/>
    <cellStyle name="n_page 1_CashF and Ratios 2" xfId="266"/>
    <cellStyle name="n_page 1_full year table" xfId="38"/>
    <cellStyle name="n_page 1_full year table 2" xfId="267"/>
    <cellStyle name="n_page 1_half year upd" xfId="39"/>
    <cellStyle name="n_page 1_half year upd 2" xfId="268"/>
    <cellStyle name="n_page 1_IS (functional) and BS " xfId="40"/>
    <cellStyle name="n_page 1_IS (functional) and BS  2" xfId="269"/>
    <cellStyle name="N0" xfId="41"/>
    <cellStyle name="N0 2" xfId="271"/>
    <cellStyle name="N0 3" xfId="270"/>
    <cellStyle name="N1" xfId="42"/>
    <cellStyle name="N2" xfId="43"/>
    <cellStyle name="N3" xfId="44"/>
    <cellStyle name="N4" xfId="45"/>
    <cellStyle name="N4 2" xfId="272"/>
    <cellStyle name="Neutral 2" xfId="274"/>
    <cellStyle name="Neutral 3" xfId="273"/>
    <cellStyle name="Normal" xfId="0" builtinId="0"/>
    <cellStyle name="Normal 10" xfId="275"/>
    <cellStyle name="Normal 10 2" xfId="276"/>
    <cellStyle name="Normal 10 2 2" xfId="277"/>
    <cellStyle name="Normal 10 2 2 2" xfId="278"/>
    <cellStyle name="Normal 10 2 2 2 2" xfId="279"/>
    <cellStyle name="Normal 10 2 2 2 2 2" xfId="280"/>
    <cellStyle name="Normal 10 2 2 3" xfId="281"/>
    <cellStyle name="Normal 10 2 3" xfId="282"/>
    <cellStyle name="Normal 10 2 3 2" xfId="283"/>
    <cellStyle name="Normal 10 2 4" xfId="284"/>
    <cellStyle name="Normal 10 3" xfId="285"/>
    <cellStyle name="Normal 10 3 2" xfId="286"/>
    <cellStyle name="Normal 10 3 2 2" xfId="287"/>
    <cellStyle name="Normal 10 3 3" xfId="288"/>
    <cellStyle name="Normal 10 4" xfId="289"/>
    <cellStyle name="Normal 10 4 2" xfId="290"/>
    <cellStyle name="Normal 10 5" xfId="291"/>
    <cellStyle name="Normal 10 5 2" xfId="292"/>
    <cellStyle name="Normal 10 6" xfId="293"/>
    <cellStyle name="Normal 11" xfId="294"/>
    <cellStyle name="Normal 11 2" xfId="650"/>
    <cellStyle name="Normal 11 3" xfId="795"/>
    <cellStyle name="Normal 12" xfId="295"/>
    <cellStyle name="Normal 12 2" xfId="296"/>
    <cellStyle name="Normal 12 2 2" xfId="297"/>
    <cellStyle name="Normal 12 2 2 2" xfId="298"/>
    <cellStyle name="Normal 12 2 2 2 2" xfId="299"/>
    <cellStyle name="Normal 12 2 2 3" xfId="300"/>
    <cellStyle name="Normal 12 2 3" xfId="301"/>
    <cellStyle name="Normal 12 2 3 2" xfId="302"/>
    <cellStyle name="Normal 12 2 4" xfId="303"/>
    <cellStyle name="Normal 12 3" xfId="304"/>
    <cellStyle name="Normal 12 3 2" xfId="305"/>
    <cellStyle name="Normal 12 3 2 2" xfId="306"/>
    <cellStyle name="Normal 12 3 3" xfId="307"/>
    <cellStyle name="Normal 12 4" xfId="308"/>
    <cellStyle name="Normal 12 4 2" xfId="309"/>
    <cellStyle name="Normal 12 5" xfId="310"/>
    <cellStyle name="Normal 13" xfId="311"/>
    <cellStyle name="Normal 13 2" xfId="312"/>
    <cellStyle name="Normal 13 2 2" xfId="313"/>
    <cellStyle name="Normal 13 2 2 2" xfId="314"/>
    <cellStyle name="Normal 13 2 2 2 2" xfId="315"/>
    <cellStyle name="Normal 13 2 2 3" xfId="316"/>
    <cellStyle name="Normal 13 2 3" xfId="317"/>
    <cellStyle name="Normal 13 2 3 2" xfId="318"/>
    <cellStyle name="Normal 13 2 4" xfId="319"/>
    <cellStyle name="Normal 13 3" xfId="320"/>
    <cellStyle name="Normal 13 3 2" xfId="321"/>
    <cellStyle name="Normal 13 3 2 2" xfId="322"/>
    <cellStyle name="Normal 13 3 3" xfId="323"/>
    <cellStyle name="Normal 13 4" xfId="324"/>
    <cellStyle name="Normal 13 4 2" xfId="325"/>
    <cellStyle name="Normal 13 5" xfId="326"/>
    <cellStyle name="Normal 14" xfId="327"/>
    <cellStyle name="Normal 14 2" xfId="328"/>
    <cellStyle name="Normal 14 2 2" xfId="329"/>
    <cellStyle name="Normal 14 2 2 2" xfId="330"/>
    <cellStyle name="Normal 14 2 2 2 2" xfId="331"/>
    <cellStyle name="Normal 14 2 2 3" xfId="332"/>
    <cellStyle name="Normal 14 2 3" xfId="333"/>
    <cellStyle name="Normal 14 2 3 2" xfId="334"/>
    <cellStyle name="Normal 14 2 4" xfId="335"/>
    <cellStyle name="Normal 14 3" xfId="336"/>
    <cellStyle name="Normal 14 3 2" xfId="337"/>
    <cellStyle name="Normal 14 3 2 2" xfId="338"/>
    <cellStyle name="Normal 14 3 3" xfId="339"/>
    <cellStyle name="Normal 14 4" xfId="340"/>
    <cellStyle name="Normal 14 4 2" xfId="341"/>
    <cellStyle name="Normal 14 5" xfId="342"/>
    <cellStyle name="Normal 15" xfId="343"/>
    <cellStyle name="Normal 15 2" xfId="344"/>
    <cellStyle name="Normal 15 2 2" xfId="345"/>
    <cellStyle name="Normal 15 2 2 2" xfId="346"/>
    <cellStyle name="Normal 15 2 2 2 2" xfId="347"/>
    <cellStyle name="Normal 15 2 2 3" xfId="348"/>
    <cellStyle name="Normal 15 2 3" xfId="349"/>
    <cellStyle name="Normal 15 2 3 2" xfId="350"/>
    <cellStyle name="Normal 15 2 4" xfId="351"/>
    <cellStyle name="Normal 15 3" xfId="352"/>
    <cellStyle name="Normal 15 3 2" xfId="353"/>
    <cellStyle name="Normal 15 3 2 2" xfId="354"/>
    <cellStyle name="Normal 15 3 3" xfId="355"/>
    <cellStyle name="Normal 15 4" xfId="356"/>
    <cellStyle name="Normal 15 4 2" xfId="357"/>
    <cellStyle name="Normal 15 5" xfId="358"/>
    <cellStyle name="Normal 16" xfId="359"/>
    <cellStyle name="Normal 16 2" xfId="360"/>
    <cellStyle name="Normal 16 2 2" xfId="361"/>
    <cellStyle name="Normal 16 2 2 2" xfId="362"/>
    <cellStyle name="Normal 16 2 3" xfId="363"/>
    <cellStyle name="Normal 16 3" xfId="364"/>
    <cellStyle name="Normal 16 3 2" xfId="365"/>
    <cellStyle name="Normal 16 4" xfId="366"/>
    <cellStyle name="Normal 17" xfId="367"/>
    <cellStyle name="Normal 17 2" xfId="368"/>
    <cellStyle name="Normal 17 2 2" xfId="369"/>
    <cellStyle name="Normal 17 2 2 2" xfId="370"/>
    <cellStyle name="Normal 17 2 3" xfId="371"/>
    <cellStyle name="Normal 17 3" xfId="372"/>
    <cellStyle name="Normal 17 3 2" xfId="373"/>
    <cellStyle name="Normal 17 4" xfId="374"/>
    <cellStyle name="Normal 18" xfId="375"/>
    <cellStyle name="Normal 18 2" xfId="376"/>
    <cellStyle name="Normal 18 2 2" xfId="377"/>
    <cellStyle name="Normal 18 3" xfId="378"/>
    <cellStyle name="Normal 19" xfId="379"/>
    <cellStyle name="Normal 19 2" xfId="380"/>
    <cellStyle name="Normal 2" xfId="59"/>
    <cellStyle name="Normal 2 2" xfId="1987"/>
    <cellStyle name="Normal 20" xfId="381"/>
    <cellStyle name="Normal 21" xfId="382"/>
    <cellStyle name="Normal 21 2" xfId="383"/>
    <cellStyle name="Normal 22" xfId="384"/>
    <cellStyle name="Normal 22 2" xfId="385"/>
    <cellStyle name="Normal 23" xfId="386"/>
    <cellStyle name="Normal 24" xfId="598"/>
    <cellStyle name="Normal 24 2" xfId="719"/>
    <cellStyle name="Normal 24 2 2" xfId="1118"/>
    <cellStyle name="Normal 24 2 2 2" xfId="1559"/>
    <cellStyle name="Normal 24 2 3" xfId="1400"/>
    <cellStyle name="Normal 24 2 4" xfId="959"/>
    <cellStyle name="Normal 24 2 5" xfId="1879"/>
    <cellStyle name="Normal 24 3" xfId="862"/>
    <cellStyle name="Normal 24 3 2" xfId="1182"/>
    <cellStyle name="Normal 24 3 2 2" xfId="1623"/>
    <cellStyle name="Normal 24 3 3" xfId="1464"/>
    <cellStyle name="Normal 24 3 4" xfId="1023"/>
    <cellStyle name="Normal 24 3 5" xfId="1943"/>
    <cellStyle name="Normal 24 4" xfId="1076"/>
    <cellStyle name="Normal 24 4 2" xfId="1517"/>
    <cellStyle name="Normal 24 5" xfId="1358"/>
    <cellStyle name="Normal 24 6" xfId="917"/>
    <cellStyle name="Normal 24 7" xfId="1837"/>
    <cellStyle name="Normal 25" xfId="1316"/>
    <cellStyle name="Normal 25 2" xfId="1754"/>
    <cellStyle name="Normal 26" xfId="1810"/>
    <cellStyle name="Normal 3" xfId="387"/>
    <cellStyle name="Normal 3 2" xfId="388"/>
    <cellStyle name="Normal 3 2 2" xfId="389"/>
    <cellStyle name="Normal 3 2 2 2" xfId="390"/>
    <cellStyle name="Normal 3 2 2 2 2" xfId="391"/>
    <cellStyle name="Normal 3 2 2 3" xfId="392"/>
    <cellStyle name="Normal 3 2 3" xfId="393"/>
    <cellStyle name="Normal 3 2 3 2" xfId="394"/>
    <cellStyle name="Normal 3 2 4" xfId="395"/>
    <cellStyle name="Normal 3 3" xfId="396"/>
    <cellStyle name="Normal 3 3 2" xfId="397"/>
    <cellStyle name="Normal 3 3 2 2" xfId="398"/>
    <cellStyle name="Normal 3 3 2 2 2" xfId="399"/>
    <cellStyle name="Normal 3 3 2 3" xfId="400"/>
    <cellStyle name="Normal 3 3 3" xfId="401"/>
    <cellStyle name="Normal 3 3 3 2" xfId="402"/>
    <cellStyle name="Normal 3 3 4" xfId="403"/>
    <cellStyle name="Normal 3 4" xfId="404"/>
    <cellStyle name="Normal 3 4 2" xfId="405"/>
    <cellStyle name="Normal 3 4 2 2" xfId="406"/>
    <cellStyle name="Normal 3 4 3" xfId="407"/>
    <cellStyle name="Normal 3 5" xfId="408"/>
    <cellStyle name="Normal 3 5 2" xfId="409"/>
    <cellStyle name="Normal 3 6" xfId="410"/>
    <cellStyle name="Normal 30" xfId="902"/>
    <cellStyle name="Normal 31" xfId="1262"/>
    <cellStyle name="Normal 32" xfId="1343"/>
    <cellStyle name="Normal 32 2" xfId="1781"/>
    <cellStyle name="Normal 34" xfId="1796"/>
    <cellStyle name="Normal 4" xfId="411"/>
    <cellStyle name="Normal 4 2" xfId="412"/>
    <cellStyle name="Normal 4 2 2" xfId="413"/>
    <cellStyle name="Normal 4 2 2 2" xfId="414"/>
    <cellStyle name="Normal 4 2 2 2 2" xfId="415"/>
    <cellStyle name="Normal 4 2 2 3" xfId="416"/>
    <cellStyle name="Normal 4 2 3" xfId="417"/>
    <cellStyle name="Normal 4 2 3 2" xfId="418"/>
    <cellStyle name="Normal 4 2 4" xfId="419"/>
    <cellStyle name="Normal 4 3" xfId="420"/>
    <cellStyle name="Normal 4 3 2" xfId="421"/>
    <cellStyle name="Normal 4 3 2 2" xfId="422"/>
    <cellStyle name="Normal 4 3 3" xfId="423"/>
    <cellStyle name="Normal 4 4" xfId="424"/>
    <cellStyle name="Normal 4 4 2" xfId="425"/>
    <cellStyle name="Normal 4 5" xfId="426"/>
    <cellStyle name="Normal 5" xfId="427"/>
    <cellStyle name="Normal 5 2" xfId="428"/>
    <cellStyle name="Normal 5 2 2" xfId="429"/>
    <cellStyle name="Normal 5 2 2 2" xfId="430"/>
    <cellStyle name="Normal 5 2 2 2 2" xfId="431"/>
    <cellStyle name="Normal 5 2 2 3" xfId="432"/>
    <cellStyle name="Normal 5 2 3" xfId="433"/>
    <cellStyle name="Normal 5 2 3 2" xfId="434"/>
    <cellStyle name="Normal 5 2 4" xfId="435"/>
    <cellStyle name="Normal 5 3" xfId="436"/>
    <cellStyle name="Normal 5 3 2" xfId="437"/>
    <cellStyle name="Normal 5 3 2 2" xfId="438"/>
    <cellStyle name="Normal 5 3 3" xfId="439"/>
    <cellStyle name="Normal 5 4" xfId="440"/>
    <cellStyle name="Normal 5 4 2" xfId="441"/>
    <cellStyle name="Normal 5 5" xfId="442"/>
    <cellStyle name="Normal 6" xfId="443"/>
    <cellStyle name="Normal 6 2" xfId="444"/>
    <cellStyle name="Normal 6 2 2" xfId="445"/>
    <cellStyle name="Normal 6 2 2 2" xfId="446"/>
    <cellStyle name="Normal 6 2 2 2 2" xfId="447"/>
    <cellStyle name="Normal 6 2 2 3" xfId="448"/>
    <cellStyle name="Normal 6 2 3" xfId="449"/>
    <cellStyle name="Normal 6 2 3 2" xfId="450"/>
    <cellStyle name="Normal 6 2 4" xfId="451"/>
    <cellStyle name="Normal 6 3" xfId="452"/>
    <cellStyle name="Normal 6 3 2" xfId="453"/>
    <cellStyle name="Normal 6 3 2 2" xfId="454"/>
    <cellStyle name="Normal 6 3 3" xfId="455"/>
    <cellStyle name="Normal 6 4" xfId="456"/>
    <cellStyle name="Normal 6 4 2" xfId="457"/>
    <cellStyle name="Normal 6 5" xfId="458"/>
    <cellStyle name="Normal 7" xfId="459"/>
    <cellStyle name="Normal 7 2" xfId="460"/>
    <cellStyle name="Normal 7 2 2" xfId="461"/>
    <cellStyle name="Normal 7 2 2 2" xfId="462"/>
    <cellStyle name="Normal 7 2 2 2 2" xfId="463"/>
    <cellStyle name="Normal 7 2 2 3" xfId="464"/>
    <cellStyle name="Normal 7 2 3" xfId="465"/>
    <cellStyle name="Normal 7 2 3 2" xfId="466"/>
    <cellStyle name="Normal 7 2 4" xfId="467"/>
    <cellStyle name="Normal 7 3" xfId="468"/>
    <cellStyle name="Normal 7 3 2" xfId="469"/>
    <cellStyle name="Normal 7 3 2 2" xfId="470"/>
    <cellStyle name="Normal 7 3 3" xfId="471"/>
    <cellStyle name="Normal 7 4" xfId="472"/>
    <cellStyle name="Normal 7 4 2" xfId="473"/>
    <cellStyle name="Normal 7 5" xfId="474"/>
    <cellStyle name="Normal 8" xfId="475"/>
    <cellStyle name="Normal 8 2" xfId="476"/>
    <cellStyle name="Normal 8 2 2" xfId="477"/>
    <cellStyle name="Normal 8 2 2 2" xfId="478"/>
    <cellStyle name="Normal 8 2 2 2 2" xfId="479"/>
    <cellStyle name="Normal 8 2 2 3" xfId="480"/>
    <cellStyle name="Normal 8 2 3" xfId="481"/>
    <cellStyle name="Normal 8 2 3 2" xfId="482"/>
    <cellStyle name="Normal 8 2 4" xfId="483"/>
    <cellStyle name="Normal 8 3" xfId="484"/>
    <cellStyle name="Normal 8 3 2" xfId="485"/>
    <cellStyle name="Normal 8 3 2 2" xfId="486"/>
    <cellStyle name="Normal 8 3 2 2 2" xfId="487"/>
    <cellStyle name="Normal 8 3 2 3" xfId="488"/>
    <cellStyle name="Normal 8 3 3" xfId="489"/>
    <cellStyle name="Normal 8 3 3 2" xfId="490"/>
    <cellStyle name="Normal 8 3 4" xfId="491"/>
    <cellStyle name="Normal 8 4" xfId="492"/>
    <cellStyle name="Normal 8 4 2" xfId="493"/>
    <cellStyle name="Normal 8 4 2 2" xfId="494"/>
    <cellStyle name="Normal 8 4 3" xfId="495"/>
    <cellStyle name="Normal 8 5" xfId="496"/>
    <cellStyle name="Normal 8 5 2" xfId="497"/>
    <cellStyle name="Normal 8 6" xfId="498"/>
    <cellStyle name="Normal 9" xfId="499"/>
    <cellStyle name="Normal 9 2" xfId="500"/>
    <cellStyle name="Normal 9 2 2" xfId="501"/>
    <cellStyle name="Normal 9 2 2 2" xfId="502"/>
    <cellStyle name="Normal 9 2 2 2 2" xfId="503"/>
    <cellStyle name="Normal 9 2 2 3" xfId="504"/>
    <cellStyle name="Normal 9 2 3" xfId="505"/>
    <cellStyle name="Normal 9 2 3 2" xfId="506"/>
    <cellStyle name="Normal 9 2 4" xfId="507"/>
    <cellStyle name="Normal 9 3" xfId="508"/>
    <cellStyle name="Normal 9 3 2" xfId="509"/>
    <cellStyle name="Normal 9 3 2 2" xfId="510"/>
    <cellStyle name="Normal 9 3 3" xfId="511"/>
    <cellStyle name="Normal 9 4" xfId="512"/>
    <cellStyle name="Normal 9 4 2" xfId="513"/>
    <cellStyle name="Normal 9 5" xfId="514"/>
    <cellStyle name="Normal_BalanseNovember" xfId="46"/>
    <cellStyle name="Normal_BalanseNovember 2" xfId="63"/>
    <cellStyle name="Normal_Tables quarterly report 2008" xfId="47"/>
    <cellStyle name="Normal_Tables quarterly report 2008~1" xfId="48"/>
    <cellStyle name="Normal_Tables quarterly report 2009" xfId="49"/>
    <cellStyle name="Normal_Tables quarterly report 2009~6" xfId="50"/>
    <cellStyle name="Note 10" xfId="515"/>
    <cellStyle name="Note 10 2" xfId="653"/>
    <cellStyle name="Note 10 2 2" xfId="1117"/>
    <cellStyle name="Note 10 2 2 2" xfId="1558"/>
    <cellStyle name="Note 10 2 3" xfId="1399"/>
    <cellStyle name="Note 10 2 4" xfId="958"/>
    <cellStyle name="Note 10 2 5" xfId="1878"/>
    <cellStyle name="Note 10 3" xfId="796"/>
    <cellStyle name="Note 10 3 2" xfId="1181"/>
    <cellStyle name="Note 10 3 2 2" xfId="1622"/>
    <cellStyle name="Note 10 3 3" xfId="1463"/>
    <cellStyle name="Note 10 3 4" xfId="1022"/>
    <cellStyle name="Note 10 3 5" xfId="1942"/>
    <cellStyle name="Note 10 4" xfId="1075"/>
    <cellStyle name="Note 10 4 2" xfId="1516"/>
    <cellStyle name="Note 10 5" xfId="1357"/>
    <cellStyle name="Note 10 6" xfId="916"/>
    <cellStyle name="Note 10 7" xfId="1836"/>
    <cellStyle name="Note 11" xfId="599"/>
    <cellStyle name="Note 11 2" xfId="720"/>
    <cellStyle name="Note 11 2 2" xfId="1119"/>
    <cellStyle name="Note 11 2 2 2" xfId="1560"/>
    <cellStyle name="Note 11 2 3" xfId="1401"/>
    <cellStyle name="Note 11 2 4" xfId="960"/>
    <cellStyle name="Note 11 2 5" xfId="1880"/>
    <cellStyle name="Note 11 3" xfId="863"/>
    <cellStyle name="Note 11 3 2" xfId="1183"/>
    <cellStyle name="Note 11 3 2 2" xfId="1624"/>
    <cellStyle name="Note 11 3 3" xfId="1465"/>
    <cellStyle name="Note 11 3 4" xfId="1024"/>
    <cellStyle name="Note 11 3 5" xfId="1944"/>
    <cellStyle name="Note 11 4" xfId="1077"/>
    <cellStyle name="Note 11 4 2" xfId="1518"/>
    <cellStyle name="Note 11 5" xfId="1359"/>
    <cellStyle name="Note 11 6" xfId="918"/>
    <cellStyle name="Note 11 7" xfId="1838"/>
    <cellStyle name="Note 12" xfId="612"/>
    <cellStyle name="Note 12 2" xfId="733"/>
    <cellStyle name="Note 12 2 2" xfId="1132"/>
    <cellStyle name="Note 12 2 2 2" xfId="1573"/>
    <cellStyle name="Note 12 2 3" xfId="1414"/>
    <cellStyle name="Note 12 2 4" xfId="973"/>
    <cellStyle name="Note 12 2 5" xfId="1893"/>
    <cellStyle name="Note 12 3" xfId="876"/>
    <cellStyle name="Note 12 3 2" xfId="1196"/>
    <cellStyle name="Note 12 3 2 2" xfId="1637"/>
    <cellStyle name="Note 12 3 3" xfId="1478"/>
    <cellStyle name="Note 12 3 4" xfId="1037"/>
    <cellStyle name="Note 12 3 5" xfId="1957"/>
    <cellStyle name="Note 12 4" xfId="1090"/>
    <cellStyle name="Note 12 4 2" xfId="1531"/>
    <cellStyle name="Note 12 5" xfId="1372"/>
    <cellStyle name="Note 12 6" xfId="931"/>
    <cellStyle name="Note 12 7" xfId="1851"/>
    <cellStyle name="Note 13" xfId="746"/>
    <cellStyle name="Note 13 2" xfId="889"/>
    <cellStyle name="Note 13 2 2" xfId="1209"/>
    <cellStyle name="Note 13 2 2 2" xfId="1650"/>
    <cellStyle name="Note 13 2 3" xfId="1491"/>
    <cellStyle name="Note 13 2 4" xfId="1050"/>
    <cellStyle name="Note 13 2 5" xfId="1970"/>
    <cellStyle name="Note 13 3" xfId="1145"/>
    <cellStyle name="Note 13 3 2" xfId="1586"/>
    <cellStyle name="Note 13 4" xfId="1427"/>
    <cellStyle name="Note 13 5" xfId="986"/>
    <cellStyle name="Note 13 6" xfId="1906"/>
    <cellStyle name="Note 14" xfId="759"/>
    <cellStyle name="Note 14 2" xfId="1158"/>
    <cellStyle name="Note 14 2 2" xfId="1599"/>
    <cellStyle name="Note 14 3" xfId="1440"/>
    <cellStyle name="Note 14 4" xfId="999"/>
    <cellStyle name="Note 14 5" xfId="1919"/>
    <cellStyle name="Note 15" xfId="1222"/>
    <cellStyle name="Note 15 2" xfId="1663"/>
    <cellStyle name="Note 16" xfId="1248"/>
    <cellStyle name="Note 16 2" xfId="1688"/>
    <cellStyle name="Note 17" xfId="1249"/>
    <cellStyle name="Note 17 2" xfId="1689"/>
    <cellStyle name="Note 18" xfId="1264"/>
    <cellStyle name="Note 18 2" xfId="1702"/>
    <cellStyle name="Note 19" xfId="1277"/>
    <cellStyle name="Note 19 2" xfId="1715"/>
    <cellStyle name="Note 2" xfId="516"/>
    <cellStyle name="Note 2 2" xfId="517"/>
    <cellStyle name="Note 2 2 2" xfId="655"/>
    <cellStyle name="Note 2 2 3" xfId="798"/>
    <cellStyle name="Note 2 3" xfId="654"/>
    <cellStyle name="Note 2 4" xfId="797"/>
    <cellStyle name="Note 20" xfId="1290"/>
    <cellStyle name="Note 20 2" xfId="1728"/>
    <cellStyle name="Note 21" xfId="1303"/>
    <cellStyle name="Note 21 2" xfId="1741"/>
    <cellStyle name="Note 22" xfId="1317"/>
    <cellStyle name="Note 22 2" xfId="1755"/>
    <cellStyle name="Note 23" xfId="1330"/>
    <cellStyle name="Note 23 2" xfId="1768"/>
    <cellStyle name="Note 24" xfId="1782"/>
    <cellStyle name="Note 25" xfId="1797"/>
    <cellStyle name="Note 26" xfId="1811"/>
    <cellStyle name="Note 3" xfId="518"/>
    <cellStyle name="Note 3 2" xfId="656"/>
    <cellStyle name="Note 3 3" xfId="799"/>
    <cellStyle name="Note 4" xfId="519"/>
    <cellStyle name="Note 4 2" xfId="657"/>
    <cellStyle name="Note 4 3" xfId="800"/>
    <cellStyle name="Note 5" xfId="520"/>
    <cellStyle name="Note 5 2" xfId="658"/>
    <cellStyle name="Note 5 3" xfId="801"/>
    <cellStyle name="Note 6" xfId="521"/>
    <cellStyle name="Note 6 2" xfId="659"/>
    <cellStyle name="Note 6 3" xfId="802"/>
    <cellStyle name="Note 7" xfId="522"/>
    <cellStyle name="Note 7 2" xfId="660"/>
    <cellStyle name="Note 7 3" xfId="803"/>
    <cellStyle name="Note 8" xfId="523"/>
    <cellStyle name="Note 8 2" xfId="661"/>
    <cellStyle name="Note 8 3" xfId="804"/>
    <cellStyle name="Note 9" xfId="524"/>
    <cellStyle name="Note 9 2" xfId="662"/>
    <cellStyle name="Note 9 3" xfId="805"/>
    <cellStyle name="Output 2" xfId="526"/>
    <cellStyle name="Output 3" xfId="525"/>
    <cellStyle name="Overskrift" xfId="51"/>
    <cellStyle name="Percent" xfId="52" builtinId="5"/>
    <cellStyle name="Percent [0]" xfId="53"/>
    <cellStyle name="Percent 10" xfId="527"/>
    <cellStyle name="Percent 11" xfId="528"/>
    <cellStyle name="Percent 12" xfId="529"/>
    <cellStyle name="Percent 2" xfId="530"/>
    <cellStyle name="Percent 2 2" xfId="531"/>
    <cellStyle name="Percent 2 2 2" xfId="532"/>
    <cellStyle name="Percent 2 2 2 2" xfId="533"/>
    <cellStyle name="Percent 2 2 2 2 2" xfId="534"/>
    <cellStyle name="Percent 2 2 2 2 2 2" xfId="667"/>
    <cellStyle name="Percent 2 2 2 2 2 3" xfId="810"/>
    <cellStyle name="Percent 2 2 2 2 3" xfId="666"/>
    <cellStyle name="Percent 2 2 2 2 4" xfId="809"/>
    <cellStyle name="Percent 2 2 2 3" xfId="535"/>
    <cellStyle name="Percent 2 2 2 3 2" xfId="668"/>
    <cellStyle name="Percent 2 2 2 3 3" xfId="811"/>
    <cellStyle name="Percent 2 2 2 4" xfId="665"/>
    <cellStyle name="Percent 2 2 2 5" xfId="808"/>
    <cellStyle name="Percent 2 2 3" xfId="536"/>
    <cellStyle name="Percent 2 2 3 2" xfId="537"/>
    <cellStyle name="Percent 2 2 3 2 2" xfId="670"/>
    <cellStyle name="Percent 2 2 3 2 3" xfId="813"/>
    <cellStyle name="Percent 2 2 3 3" xfId="669"/>
    <cellStyle name="Percent 2 2 3 4" xfId="812"/>
    <cellStyle name="Percent 2 2 4" xfId="538"/>
    <cellStyle name="Percent 2 2 4 2" xfId="671"/>
    <cellStyle name="Percent 2 2 4 3" xfId="814"/>
    <cellStyle name="Percent 2 2 5" xfId="664"/>
    <cellStyle name="Percent 2 2 6" xfId="807"/>
    <cellStyle name="Percent 2 3" xfId="539"/>
    <cellStyle name="Percent 2 3 2" xfId="540"/>
    <cellStyle name="Percent 2 3 2 2" xfId="541"/>
    <cellStyle name="Percent 2 3 2 2 2" xfId="674"/>
    <cellStyle name="Percent 2 3 2 2 3" xfId="817"/>
    <cellStyle name="Percent 2 3 2 3" xfId="673"/>
    <cellStyle name="Percent 2 3 2 4" xfId="816"/>
    <cellStyle name="Percent 2 3 3" xfId="542"/>
    <cellStyle name="Percent 2 3 3 2" xfId="675"/>
    <cellStyle name="Percent 2 3 3 3" xfId="818"/>
    <cellStyle name="Percent 2 3 4" xfId="672"/>
    <cellStyle name="Percent 2 3 5" xfId="815"/>
    <cellStyle name="Percent 2 4" xfId="543"/>
    <cellStyle name="Percent 2 4 2" xfId="544"/>
    <cellStyle name="Percent 2 4 2 2" xfId="677"/>
    <cellStyle name="Percent 2 4 2 3" xfId="820"/>
    <cellStyle name="Percent 2 4 3" xfId="676"/>
    <cellStyle name="Percent 2 4 4" xfId="819"/>
    <cellStyle name="Percent 2 5" xfId="545"/>
    <cellStyle name="Percent 2 5 2" xfId="678"/>
    <cellStyle name="Percent 2 5 3" xfId="821"/>
    <cellStyle name="Percent 2 6" xfId="663"/>
    <cellStyle name="Percent 2 7" xfId="806"/>
    <cellStyle name="Percent 3" xfId="546"/>
    <cellStyle name="Percent 3 2" xfId="547"/>
    <cellStyle name="Percent 3 2 2" xfId="548"/>
    <cellStyle name="Percent 3 2 2 2" xfId="549"/>
    <cellStyle name="Percent 3 2 2 2 2" xfId="550"/>
    <cellStyle name="Percent 3 2 2 2 2 2" xfId="683"/>
    <cellStyle name="Percent 3 2 2 2 2 3" xfId="826"/>
    <cellStyle name="Percent 3 2 2 2 3" xfId="682"/>
    <cellStyle name="Percent 3 2 2 2 4" xfId="825"/>
    <cellStyle name="Percent 3 2 2 3" xfId="551"/>
    <cellStyle name="Percent 3 2 2 3 2" xfId="684"/>
    <cellStyle name="Percent 3 2 2 3 3" xfId="827"/>
    <cellStyle name="Percent 3 2 2 4" xfId="681"/>
    <cellStyle name="Percent 3 2 2 5" xfId="824"/>
    <cellStyle name="Percent 3 2 3" xfId="552"/>
    <cellStyle name="Percent 3 2 3 2" xfId="553"/>
    <cellStyle name="Percent 3 2 3 2 2" xfId="686"/>
    <cellStyle name="Percent 3 2 3 2 3" xfId="829"/>
    <cellStyle name="Percent 3 2 3 3" xfId="685"/>
    <cellStyle name="Percent 3 2 3 4" xfId="828"/>
    <cellStyle name="Percent 3 2 4" xfId="554"/>
    <cellStyle name="Percent 3 2 4 2" xfId="687"/>
    <cellStyle name="Percent 3 2 4 3" xfId="830"/>
    <cellStyle name="Percent 3 2 5" xfId="680"/>
    <cellStyle name="Percent 3 2 6" xfId="823"/>
    <cellStyle name="Percent 3 3" xfId="555"/>
    <cellStyle name="Percent 3 3 2" xfId="556"/>
    <cellStyle name="Percent 3 3 2 2" xfId="557"/>
    <cellStyle name="Percent 3 3 2 2 2" xfId="690"/>
    <cellStyle name="Percent 3 3 2 2 3" xfId="833"/>
    <cellStyle name="Percent 3 3 2 3" xfId="689"/>
    <cellStyle name="Percent 3 3 2 4" xfId="832"/>
    <cellStyle name="Percent 3 3 3" xfId="558"/>
    <cellStyle name="Percent 3 3 3 2" xfId="691"/>
    <cellStyle name="Percent 3 3 3 3" xfId="834"/>
    <cellStyle name="Percent 3 3 4" xfId="688"/>
    <cellStyle name="Percent 3 3 5" xfId="831"/>
    <cellStyle name="Percent 3 4" xfId="559"/>
    <cellStyle name="Percent 3 4 2" xfId="560"/>
    <cellStyle name="Percent 3 4 2 2" xfId="693"/>
    <cellStyle name="Percent 3 4 2 3" xfId="836"/>
    <cellStyle name="Percent 3 4 3" xfId="692"/>
    <cellStyle name="Percent 3 4 4" xfId="835"/>
    <cellStyle name="Percent 3 5" xfId="561"/>
    <cellStyle name="Percent 3 5 2" xfId="694"/>
    <cellStyle name="Percent 3 5 3" xfId="837"/>
    <cellStyle name="Percent 3 6" xfId="679"/>
    <cellStyle name="Percent 3 7" xfId="822"/>
    <cellStyle name="Percent 4" xfId="562"/>
    <cellStyle name="Percent 4 2" xfId="563"/>
    <cellStyle name="Percent 4 2 2" xfId="564"/>
    <cellStyle name="Percent 4 2 2 2" xfId="565"/>
    <cellStyle name="Percent 4 2 2 2 2" xfId="698"/>
    <cellStyle name="Percent 4 2 2 2 3" xfId="841"/>
    <cellStyle name="Percent 4 2 2 3" xfId="697"/>
    <cellStyle name="Percent 4 2 2 4" xfId="840"/>
    <cellStyle name="Percent 4 2 3" xfId="566"/>
    <cellStyle name="Percent 4 2 3 2" xfId="699"/>
    <cellStyle name="Percent 4 2 3 3" xfId="842"/>
    <cellStyle name="Percent 4 2 4" xfId="696"/>
    <cellStyle name="Percent 4 2 5" xfId="839"/>
    <cellStyle name="Percent 4 3" xfId="567"/>
    <cellStyle name="Percent 4 3 2" xfId="568"/>
    <cellStyle name="Percent 4 3 2 2" xfId="701"/>
    <cellStyle name="Percent 4 3 2 3" xfId="844"/>
    <cellStyle name="Percent 4 3 3" xfId="700"/>
    <cellStyle name="Percent 4 3 4" xfId="843"/>
    <cellStyle name="Percent 4 4" xfId="569"/>
    <cellStyle name="Percent 4 4 2" xfId="702"/>
    <cellStyle name="Percent 4 4 3" xfId="845"/>
    <cellStyle name="Percent 4 5" xfId="695"/>
    <cellStyle name="Percent 4 6" xfId="838"/>
    <cellStyle name="Percent 5" xfId="570"/>
    <cellStyle name="Percent 6" xfId="571"/>
    <cellStyle name="Percent 7" xfId="572"/>
    <cellStyle name="Percent 8" xfId="573"/>
    <cellStyle name="Percent 9" xfId="574"/>
    <cellStyle name="Prosent 3" xfId="1988"/>
    <cellStyle name="Stil 1" xfId="61"/>
    <cellStyle name="Stil 1 2" xfId="575"/>
    <cellStyle name="Style 1" xfId="576"/>
    <cellStyle name="Tabelltittel" xfId="577"/>
    <cellStyle name="Title" xfId="65" builtinId="15" customBuiltin="1"/>
    <cellStyle name="Total 2" xfId="579"/>
    <cellStyle name="Total 3" xfId="578"/>
    <cellStyle name="Tusenskille 2" xfId="580"/>
    <cellStyle name="Tusenskille 2 2" xfId="581"/>
    <cellStyle name="Tusenskille 2 2 2" xfId="582"/>
    <cellStyle name="Tusenskille 2 2 2 2" xfId="583"/>
    <cellStyle name="Tusenskille 2 2 2 2 2" xfId="584"/>
    <cellStyle name="Tusenskille 2 2 2 2 2 2" xfId="707"/>
    <cellStyle name="Tusenskille 2 2 2 2 2 3" xfId="850"/>
    <cellStyle name="Tusenskille 2 2 2 2 3" xfId="706"/>
    <cellStyle name="Tusenskille 2 2 2 2 4" xfId="849"/>
    <cellStyle name="Tusenskille 2 2 2 3" xfId="585"/>
    <cellStyle name="Tusenskille 2 2 2 3 2" xfId="708"/>
    <cellStyle name="Tusenskille 2 2 2 3 3" xfId="851"/>
    <cellStyle name="Tusenskille 2 2 2 4" xfId="705"/>
    <cellStyle name="Tusenskille 2 2 2 5" xfId="848"/>
    <cellStyle name="Tusenskille 2 2 3" xfId="586"/>
    <cellStyle name="Tusenskille 2 2 3 2" xfId="587"/>
    <cellStyle name="Tusenskille 2 2 3 2 2" xfId="710"/>
    <cellStyle name="Tusenskille 2 2 3 2 3" xfId="853"/>
    <cellStyle name="Tusenskille 2 2 3 3" xfId="709"/>
    <cellStyle name="Tusenskille 2 2 3 4" xfId="852"/>
    <cellStyle name="Tusenskille 2 2 4" xfId="588"/>
    <cellStyle name="Tusenskille 2 2 4 2" xfId="711"/>
    <cellStyle name="Tusenskille 2 2 4 3" xfId="854"/>
    <cellStyle name="Tusenskille 2 2 5" xfId="704"/>
    <cellStyle name="Tusenskille 2 2 6" xfId="847"/>
    <cellStyle name="Tusenskille 2 3" xfId="589"/>
    <cellStyle name="Tusenskille 2 3 2" xfId="590"/>
    <cellStyle name="Tusenskille 2 3 2 2" xfId="591"/>
    <cellStyle name="Tusenskille 2 3 2 2 2" xfId="714"/>
    <cellStyle name="Tusenskille 2 3 2 2 3" xfId="857"/>
    <cellStyle name="Tusenskille 2 3 2 3" xfId="713"/>
    <cellStyle name="Tusenskille 2 3 2 4" xfId="856"/>
    <cellStyle name="Tusenskille 2 3 3" xfId="592"/>
    <cellStyle name="Tusenskille 2 3 3 2" xfId="715"/>
    <cellStyle name="Tusenskille 2 3 3 3" xfId="858"/>
    <cellStyle name="Tusenskille 2 3 4" xfId="712"/>
    <cellStyle name="Tusenskille 2 3 5" xfId="855"/>
    <cellStyle name="Tusenskille 2 4" xfId="593"/>
    <cellStyle name="Tusenskille 2 4 2" xfId="594"/>
    <cellStyle name="Tusenskille 2 4 2 2" xfId="717"/>
    <cellStyle name="Tusenskille 2 4 2 3" xfId="860"/>
    <cellStyle name="Tusenskille 2 4 3" xfId="716"/>
    <cellStyle name="Tusenskille 2 4 4" xfId="859"/>
    <cellStyle name="Tusenskille 2 5" xfId="595"/>
    <cellStyle name="Tusenskille 2 5 2" xfId="718"/>
    <cellStyle name="Tusenskille 2 5 3" xfId="861"/>
    <cellStyle name="Tusenskille 2 6" xfId="703"/>
    <cellStyle name="Tusenskille 2 7" xfId="846"/>
    <cellStyle name="Tusenskille_0610 Report tables" xfId="1983"/>
    <cellStyle name="Tusenskille_Sweden_Denmark_2008" xfId="54"/>
    <cellStyle name="Tusenskille_Tables quarterly report 2008" xfId="55"/>
    <cellStyle name="Tusenskille_Tables quarterly report 2008 2" xfId="60"/>
    <cellStyle name="Tusenskille_Tables quarterly report 2008 3" xfId="62"/>
    <cellStyle name="Warning Text 2" xfId="597"/>
    <cellStyle name="Warning Text 3" xfId="596"/>
    <cellStyle name="Årstal" xfId="56"/>
    <cellStyle name="Обычный_Лист2" xfId="57"/>
    <cellStyle name="Финансовый_Лист2" xfId="5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FF"/>
      <rgbColor rgb="00DDD3AF"/>
      <rgbColor rgb="00A2AD00"/>
      <rgbColor rgb="00825C26"/>
      <rgbColor rgb="00808080"/>
      <rgbColor rgb="00000000"/>
      <rgbColor rgb="000066CC"/>
      <rgbColor rgb="00FFFFFF"/>
      <rgbColor rgb="00E0D6B5"/>
      <rgbColor rgb="00C9B582"/>
      <rgbColor rgb="00FFFF00"/>
      <rgbColor rgb="0000FFFF"/>
      <rgbColor rgb="00DEF3FE"/>
      <rgbColor rgb="0098C3F6"/>
      <rgbColor rgb="00E6D7D4"/>
      <rgbColor rgb="00EAEAEA"/>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3AF"/>
      <color rgb="FF0099FF"/>
      <color rgb="FF28F84B"/>
      <color rgb="FFFFFF99"/>
      <color rgb="FFDCE6F1"/>
      <color rgb="FFCCFFCC"/>
      <color rgb="FF800080"/>
      <color rgb="FF9933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sharedStrings" Target="sharedStrings.xml"/><Relationship Id="rId48"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EBITDA boi Contribution</a:t>
            </a:r>
          </a:p>
        </c:rich>
      </c:tx>
      <c:overlay val="1"/>
    </c:title>
    <c:autoTitleDeleted val="0"/>
    <c:plotArea>
      <c:layout/>
      <c:barChart>
        <c:barDir val="col"/>
        <c:grouping val="clustered"/>
        <c:varyColors val="0"/>
        <c:ser>
          <c:idx val="0"/>
          <c:order val="0"/>
          <c:spPr>
            <a:solidFill>
              <a:srgbClr val="00B0F0"/>
            </a:solidFill>
          </c:spPr>
          <c:invertIfNegative val="0"/>
          <c:dLbls>
            <c:dLbl>
              <c:idx val="10"/>
              <c:layout>
                <c:manualLayout>
                  <c:x val="0"/>
                  <c:y val="8.0083579725088186E-2"/>
                </c:manualLayout>
              </c:layout>
              <c:showLegendKey val="0"/>
              <c:showVal val="1"/>
              <c:showCatName val="0"/>
              <c:showSerName val="0"/>
              <c:showPercent val="0"/>
              <c:showBubbleSize val="0"/>
            </c:dLbl>
            <c:dLbl>
              <c:idx val="11"/>
              <c:layout>
                <c:manualLayout>
                  <c:x val="0"/>
                  <c:y val="7.7543980643736868E-2"/>
                </c:manualLayout>
              </c:layout>
              <c:showLegendKey val="0"/>
              <c:showVal val="1"/>
              <c:showCatName val="0"/>
              <c:showSerName val="0"/>
              <c:showPercent val="0"/>
              <c:showBubbleSize val="0"/>
            </c:dLbl>
            <c:dLbl>
              <c:idx val="13"/>
              <c:layout>
                <c:manualLayout>
                  <c:x val="0"/>
                  <c:y val="0.11924137515050945"/>
                </c:manualLayout>
              </c:layout>
              <c:showLegendKey val="0"/>
              <c:showVal val="1"/>
              <c:showCatName val="0"/>
              <c:showSerName val="0"/>
              <c:showPercent val="0"/>
              <c:showBubbleSize val="0"/>
            </c:dLbl>
            <c:dLbl>
              <c:idx val="14"/>
              <c:layout>
                <c:manualLayout>
                  <c:x val="0"/>
                  <c:y val="9.2292490343491726E-2"/>
                </c:manualLayout>
              </c:layout>
              <c:showLegendKey val="0"/>
              <c:showVal val="1"/>
              <c:showCatName val="0"/>
              <c:showSerName val="0"/>
              <c:showPercent val="0"/>
              <c:showBubbleSize val="0"/>
            </c:dLbl>
            <c:dLbl>
              <c:idx val="15"/>
              <c:layout>
                <c:manualLayout>
                  <c:x val="-2.5559105431309905E-3"/>
                  <c:y val="5.332420373011041E-2"/>
                </c:manualLayout>
              </c:layout>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0"/>
          </c:dLbls>
          <c:cat>
            <c:strRef>
              <c:f>'EBITDA Contribution -brukes den'!$C$7:$C$21</c:f>
              <c:strCache>
                <c:ptCount val="15"/>
                <c:pt idx="0">
                  <c:v>Norway</c:v>
                </c:pt>
                <c:pt idx="1">
                  <c:v>Sweden</c:v>
                </c:pt>
                <c:pt idx="2">
                  <c:v>Denmark</c:v>
                </c:pt>
                <c:pt idx="3">
                  <c:v>Telenor - Hungary</c:v>
                </c:pt>
                <c:pt idx="4">
                  <c:v>Globul - Bulgaria</c:v>
                </c:pt>
                <c:pt idx="5">
                  <c:v>Montenegro &amp; Serbia</c:v>
                </c:pt>
                <c:pt idx="6">
                  <c:v>DTAC - Thailand</c:v>
                </c:pt>
                <c:pt idx="7">
                  <c:v>DiGi - Malaysia</c:v>
                </c:pt>
                <c:pt idx="8">
                  <c:v>Grameenphone - Bangladesh</c:v>
                </c:pt>
                <c:pt idx="9">
                  <c:v>Pakistan</c:v>
                </c:pt>
                <c:pt idx="10">
                  <c:v>India</c:v>
                </c:pt>
                <c:pt idx="11">
                  <c:v>Myanmar</c:v>
                </c:pt>
                <c:pt idx="12">
                  <c:v>Broadcast</c:v>
                </c:pt>
                <c:pt idx="13">
                  <c:v>Other operations</c:v>
                </c:pt>
                <c:pt idx="14">
                  <c:v>Eliminations</c:v>
                </c:pt>
              </c:strCache>
            </c:strRef>
          </c:cat>
          <c:val>
            <c:numRef>
              <c:f>'EBITDA Contribution -brukes den'!$E$7:$E$21</c:f>
              <c:numCache>
                <c:formatCode>#,#00\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50"/>
        <c:axId val="200682112"/>
        <c:axId val="200708480"/>
      </c:barChart>
      <c:catAx>
        <c:axId val="200682112"/>
        <c:scaling>
          <c:orientation val="minMax"/>
        </c:scaling>
        <c:delete val="0"/>
        <c:axPos val="b"/>
        <c:majorTickMark val="out"/>
        <c:minorTickMark val="none"/>
        <c:tickLblPos val="nextTo"/>
        <c:txPr>
          <a:bodyPr/>
          <a:lstStyle/>
          <a:p>
            <a:pPr>
              <a:defRPr b="0"/>
            </a:pPr>
            <a:endParaRPr lang="en-US"/>
          </a:p>
        </c:txPr>
        <c:crossAx val="200708480"/>
        <c:crosses val="autoZero"/>
        <c:auto val="1"/>
        <c:lblAlgn val="ctr"/>
        <c:lblOffset val="100"/>
        <c:noMultiLvlLbl val="0"/>
      </c:catAx>
      <c:valAx>
        <c:axId val="200708480"/>
        <c:scaling>
          <c:orientation val="minMax"/>
        </c:scaling>
        <c:delete val="0"/>
        <c:axPos val="l"/>
        <c:numFmt formatCode="#,#00\ %" sourceLinked="1"/>
        <c:majorTickMark val="out"/>
        <c:minorTickMark val="none"/>
        <c:tickLblPos val="nextTo"/>
        <c:crossAx val="20068211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CAPEX Share</a:t>
            </a:r>
          </a:p>
        </c:rich>
      </c:tx>
      <c:layout>
        <c:manualLayout>
          <c:xMode val="edge"/>
          <c:yMode val="edge"/>
          <c:x val="0.40463200118853077"/>
          <c:y val="2.1680198296994819E-2"/>
        </c:manualLayout>
      </c:layout>
      <c:overlay val="1"/>
    </c:title>
    <c:autoTitleDeleted val="0"/>
    <c:plotArea>
      <c:layout/>
      <c:barChart>
        <c:barDir val="col"/>
        <c:grouping val="clustered"/>
        <c:varyColors val="0"/>
        <c:ser>
          <c:idx val="0"/>
          <c:order val="0"/>
          <c:spPr>
            <a:solidFill>
              <a:srgbClr val="00B0F0"/>
            </a:solidFill>
          </c:spPr>
          <c:invertIfNegative val="0"/>
          <c:dLbls>
            <c:txPr>
              <a:bodyPr/>
              <a:lstStyle/>
              <a:p>
                <a:pPr>
                  <a:defRPr b="1"/>
                </a:pPr>
                <a:endParaRPr lang="en-US"/>
              </a:p>
            </c:txPr>
            <c:dLblPos val="outEnd"/>
            <c:showLegendKey val="0"/>
            <c:showVal val="1"/>
            <c:showCatName val="0"/>
            <c:showSerName val="0"/>
            <c:showPercent val="0"/>
            <c:showBubbleSize val="0"/>
            <c:showLeaderLines val="0"/>
          </c:dLbls>
          <c:cat>
            <c:strRef>
              <c:f>'EBITDA Contribution -brukes den'!$C$27:$C$40</c:f>
              <c:strCache>
                <c:ptCount val="14"/>
                <c:pt idx="0">
                  <c:v>Norway</c:v>
                </c:pt>
                <c:pt idx="1">
                  <c:v>Sweden</c:v>
                </c:pt>
                <c:pt idx="2">
                  <c:v>Denmark</c:v>
                </c:pt>
                <c:pt idx="3">
                  <c:v>Telenor - Hungary</c:v>
                </c:pt>
                <c:pt idx="4">
                  <c:v>Globul - Bulgaria</c:v>
                </c:pt>
                <c:pt idx="5">
                  <c:v>Montenegro &amp; Serbia</c:v>
                </c:pt>
                <c:pt idx="6">
                  <c:v>DTAC - Thailand</c:v>
                </c:pt>
                <c:pt idx="7">
                  <c:v>DiGi - Malaysia</c:v>
                </c:pt>
                <c:pt idx="8">
                  <c:v>Grameenphone - Bangladesh</c:v>
                </c:pt>
                <c:pt idx="9">
                  <c:v>Pakistan</c:v>
                </c:pt>
                <c:pt idx="10">
                  <c:v>India</c:v>
                </c:pt>
                <c:pt idx="11">
                  <c:v>Myanmar</c:v>
                </c:pt>
                <c:pt idx="12">
                  <c:v>Broadcast</c:v>
                </c:pt>
                <c:pt idx="13">
                  <c:v>Other operations</c:v>
                </c:pt>
              </c:strCache>
            </c:strRef>
          </c:cat>
          <c:val>
            <c:numRef>
              <c:f>'EBITDA Contribution -brukes den'!$E$27:$E$40</c:f>
              <c:numCache>
                <c:formatCode>#,#00\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150"/>
        <c:axId val="200728960"/>
        <c:axId val="200730496"/>
      </c:barChart>
      <c:catAx>
        <c:axId val="200728960"/>
        <c:scaling>
          <c:orientation val="minMax"/>
        </c:scaling>
        <c:delete val="0"/>
        <c:axPos val="b"/>
        <c:majorTickMark val="out"/>
        <c:minorTickMark val="none"/>
        <c:tickLblPos val="nextTo"/>
        <c:crossAx val="200730496"/>
        <c:crosses val="autoZero"/>
        <c:auto val="1"/>
        <c:lblAlgn val="ctr"/>
        <c:lblOffset val="100"/>
        <c:noMultiLvlLbl val="0"/>
      </c:catAx>
      <c:valAx>
        <c:axId val="200730496"/>
        <c:scaling>
          <c:orientation val="minMax"/>
        </c:scaling>
        <c:delete val="0"/>
        <c:axPos val="l"/>
        <c:numFmt formatCode="#,#00\ %" sourceLinked="1"/>
        <c:majorTickMark val="out"/>
        <c:minorTickMark val="none"/>
        <c:tickLblPos val="nextTo"/>
        <c:crossAx val="20072896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OCF Contribution</a:t>
            </a:r>
          </a:p>
        </c:rich>
      </c:tx>
      <c:overlay val="1"/>
    </c:title>
    <c:autoTitleDeleted val="0"/>
    <c:plotArea>
      <c:layout>
        <c:manualLayout>
          <c:layoutTarget val="inner"/>
          <c:xMode val="edge"/>
          <c:yMode val="edge"/>
          <c:x val="9.2360124795721296E-2"/>
          <c:y val="0.12306321934042734"/>
          <c:w val="0.89254553558163718"/>
          <c:h val="0.85472446231970156"/>
        </c:manualLayout>
      </c:layout>
      <c:barChart>
        <c:barDir val="col"/>
        <c:grouping val="clustered"/>
        <c:varyColors val="0"/>
        <c:ser>
          <c:idx val="0"/>
          <c:order val="0"/>
          <c:spPr>
            <a:solidFill>
              <a:srgbClr val="00B0F0"/>
            </a:solidFill>
          </c:spPr>
          <c:invertIfNegative val="0"/>
          <c:dLbls>
            <c:dLbl>
              <c:idx val="10"/>
              <c:layout>
                <c:manualLayout>
                  <c:x val="-1.8867924528301887E-3"/>
                  <c:y val="0.10840099148497409"/>
                </c:manualLayout>
              </c:layout>
              <c:dLblPos val="outEnd"/>
              <c:showLegendKey val="0"/>
              <c:showVal val="1"/>
              <c:showCatName val="0"/>
              <c:showSerName val="0"/>
              <c:showPercent val="0"/>
              <c:showBubbleSize val="0"/>
            </c:dLbl>
            <c:dLbl>
              <c:idx val="13"/>
              <c:layout>
                <c:manualLayout>
                  <c:x val="3.7735849056603774E-3"/>
                  <c:y val="-1.4323788276707201E-2"/>
                </c:manualLayout>
              </c:layout>
              <c:dLblPos val="outEnd"/>
              <c:showLegendKey val="0"/>
              <c:showVal val="1"/>
              <c:showCatName val="0"/>
              <c:showSerName val="0"/>
              <c:showPercent val="0"/>
              <c:showBubbleSize val="0"/>
            </c:dLbl>
            <c:txPr>
              <a:bodyPr/>
              <a:lstStyle/>
              <a:p>
                <a:pPr>
                  <a:defRPr b="1"/>
                </a:pPr>
                <a:endParaRPr lang="en-US"/>
              </a:p>
            </c:txPr>
            <c:dLblPos val="outEnd"/>
            <c:showLegendKey val="0"/>
            <c:showVal val="1"/>
            <c:showCatName val="0"/>
            <c:showSerName val="0"/>
            <c:showPercent val="0"/>
            <c:showBubbleSize val="0"/>
            <c:showLeaderLines val="0"/>
          </c:dLbls>
          <c:cat>
            <c:strRef>
              <c:f>'EBITDA Contribution -brukes den'!$C$48:$C$61</c:f>
              <c:strCache>
                <c:ptCount val="14"/>
                <c:pt idx="0">
                  <c:v>Norway</c:v>
                </c:pt>
                <c:pt idx="1">
                  <c:v>Sweden</c:v>
                </c:pt>
                <c:pt idx="2">
                  <c:v>Denmark</c:v>
                </c:pt>
                <c:pt idx="3">
                  <c:v>Telenor - Hungary</c:v>
                </c:pt>
                <c:pt idx="4">
                  <c:v>Globul - Bulgaria</c:v>
                </c:pt>
                <c:pt idx="5">
                  <c:v>Montenegro &amp; Serbia</c:v>
                </c:pt>
                <c:pt idx="6">
                  <c:v>DTAC - Thailand</c:v>
                </c:pt>
                <c:pt idx="7">
                  <c:v>DiGi - Malaysia</c:v>
                </c:pt>
                <c:pt idx="8">
                  <c:v>Grameenphone - Bangladesh</c:v>
                </c:pt>
                <c:pt idx="9">
                  <c:v>Pakistan</c:v>
                </c:pt>
                <c:pt idx="10">
                  <c:v>India</c:v>
                </c:pt>
                <c:pt idx="11">
                  <c:v>Myanmar</c:v>
                </c:pt>
                <c:pt idx="12">
                  <c:v>Broadcast</c:v>
                </c:pt>
                <c:pt idx="13">
                  <c:v>Other operations</c:v>
                </c:pt>
              </c:strCache>
            </c:strRef>
          </c:cat>
          <c:val>
            <c:numRef>
              <c:f>'EBITDA Contribution -brukes den'!$E$48:$E$61</c:f>
              <c:numCache>
                <c:formatCode>#,#00\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150"/>
        <c:axId val="200755072"/>
        <c:axId val="200756608"/>
      </c:barChart>
      <c:catAx>
        <c:axId val="200755072"/>
        <c:scaling>
          <c:orientation val="minMax"/>
        </c:scaling>
        <c:delete val="0"/>
        <c:axPos val="b"/>
        <c:majorTickMark val="out"/>
        <c:minorTickMark val="none"/>
        <c:tickLblPos val="nextTo"/>
        <c:crossAx val="200756608"/>
        <c:crosses val="autoZero"/>
        <c:auto val="1"/>
        <c:lblAlgn val="ctr"/>
        <c:lblOffset val="100"/>
        <c:noMultiLvlLbl val="0"/>
      </c:catAx>
      <c:valAx>
        <c:axId val="200756608"/>
        <c:scaling>
          <c:orientation val="minMax"/>
        </c:scaling>
        <c:delete val="0"/>
        <c:axPos val="l"/>
        <c:numFmt formatCode="#,#00\ %" sourceLinked="1"/>
        <c:majorTickMark val="out"/>
        <c:minorTickMark val="none"/>
        <c:tickLblPos val="nextTo"/>
        <c:crossAx val="20075507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190500</xdr:colOff>
      <xdr:row>3</xdr:row>
      <xdr:rowOff>41272</xdr:rowOff>
    </xdr:from>
    <xdr:to>
      <xdr:col>21</xdr:col>
      <xdr:colOff>169332</xdr:colOff>
      <xdr:row>22</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190500</xdr:colOff>
      <xdr:row>23</xdr:row>
      <xdr:rowOff>74082</xdr:rowOff>
    </xdr:from>
    <xdr:to>
      <xdr:col>21</xdr:col>
      <xdr:colOff>169333</xdr:colOff>
      <xdr:row>42</xdr:row>
      <xdr:rowOff>96310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201084</xdr:colOff>
      <xdr:row>44</xdr:row>
      <xdr:rowOff>74083</xdr:rowOff>
    </xdr:from>
    <xdr:to>
      <xdr:col>21</xdr:col>
      <xdr:colOff>179917</xdr:colOff>
      <xdr:row>63</xdr:row>
      <xdr:rowOff>128061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eroom.mobil.telenor.no/eRoomReq/Files/mHorizon/BusinessAnalysis/0_25fba/0412%20DS~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ns-fbu-2f-004.corp.telenor.no\kon-data$\Tell-Us%20Adm-Store-Kunder\&#216;konomi\Periodeavslutning\Res%20Kundedimensjon%202002P2%20EBITD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eroom.mobil.telenor.no/Tell-Us%20Adm-Store-Kunder/&#216;konomi/Periodeavslutning/Res%20Kundedimensjon%202002P2%20EBIT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ns-fbu-2f-004.corp.telenor.no\kon-data$\Documents%20and%20Settings\t539562\Local%20Settings\Temporary%20Internet%20Files\OLK9\&#216;k%20per%20kontrakt%20-%20tapsavsetn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eroom.mobil.telenor.no/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eroom.mobil.telenor.no/BM/Vimpelcom/Budget/2004/Package%20Budget%202004%20SUB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eroom.mobil.telenor.no/Koe/Katalog/RAPPORT/Mnd-00/Diverse/maler/Rapportpakke%20Excel%20kva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ns-fbu-2f-004.corp.telenor.no\kon-data$\Koe\Katalog\RAPPORT\Mnd-00\Diverse\maler\Rapportpakke%20Excel%20kva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ns-fbu-2f-019\sfs\FIN\Group%20Financial%20Rep%20Analysis\Conf\Reporting%20CPA%20(actual)\2016\09%20-%20Q3\External%20report\HFM_Tables%20quarterly_report_Q3_v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ns-fbu-2f-004.corp.telenor.no\kon-data$\HK_OKOK\Bud_rapp\MNDRAPP\2000\0004\Utrapportert\pres0004%20Business%20Solu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eroom.mobil.telenor.no/HK_OKOK/Bud_rapp/MNDRAPP/2000/0004/Utrapportert/pres0004%20Business%20Solu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Grunndata"/>
      <sheetName val="tot"/>
      <sheetName val="CAPEX LRBP_Input"/>
      <sheetName val="Forside"/>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Valutakurs"/>
      <sheetName val="Total"/>
      <sheetName val="Pannon"/>
      <sheetName val="DIGI "/>
      <sheetName val="Kyvistar"/>
      <sheetName val="Pakistan (Nederl.)"/>
      <sheetName val="Pakistan (pak.)"/>
      <sheetName val="Sonofon"/>
      <sheetName val="Minoritet_merverd"/>
      <sheetName val="djuice.se"/>
      <sheetName val="TMI USA"/>
      <sheetName val="Pannon Merverdi"/>
      <sheetName val="Digi Merverdi"/>
      <sheetName val="Kyivstar Merverdi"/>
      <sheetName val="Sonofon Merv"/>
      <sheetName val="Sonofon Merv NY"/>
      <sheetName val="Sonofon Merv NY Feb"/>
      <sheetName val="IFRS pakke ER"/>
      <sheetName val="Sonofon Merv IFRS"/>
      <sheetName val="Asset Y WSN"/>
      <sheetName val="Sonofon Merv IFRS (Innlegging )"/>
      <sheetName val="Sonofon excess value ny PPA"/>
      <sheetName val="Sonofon Merv USGAAP"/>
      <sheetName val="Sonofon Merv USGAAP (2)"/>
      <sheetName val="Promote Merv"/>
      <sheetName val="Sonofon Merv NY Feb (2)"/>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 val="Business Sol"/>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 val="Asia-Pacific"/>
      <sheetName val="China-India"/>
      <sheetName val="Eastern Europe"/>
      <sheetName val="Latin America"/>
      <sheetName val="MEA"/>
      <sheetName val="North America"/>
      <sheetName val="Western Europe"/>
      <sheetName val="World"/>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 val="WirelessMature"/>
      <sheetName val="IntegratedTelco"/>
      <sheetName val="Broadband"/>
      <sheetName val="WirelessEmerging"/>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F_STAT"/>
      <sheetName val="Revenue Q"/>
      <sheetName val="Gross Margin Q"/>
      <sheetName val="EBITDA Q"/>
      <sheetName val="EBITDA% Q"/>
      <sheetName val="Net Result"/>
      <sheetName val="Capex Q"/>
      <sheetName val="Subs Q"/>
      <sheetName val="ARPU Q"/>
      <sheetName val="Market Share"/>
      <sheetName val="Capex details"/>
      <sheetName val="Network KPIs"/>
      <sheetName val="fra januar 2003"/>
      <sheetName val="A-sted"/>
      <sheetName val="K-kost"/>
      <sheetName val="Actual_month"/>
      <sheetName val="Actual_YTD"/>
      <sheetName val="Budget_month"/>
      <sheetName val="Budget_YTD"/>
      <sheetName val="Forecast 2000"/>
      <sheetName val="Weights"/>
      <sheetName val="Total Pre"/>
      <sheetName val="CaseOppsummering"/>
      <sheetName val="Prosjektregnskap"/>
      <sheetName val="Resources &amp; Targets"/>
      <sheetName val="Fixed Assets"/>
      <sheetName val="Own CC Costs"/>
      <sheetName val="1998AMC"/>
      <sheetName val="Support Costs &amp; TC Tr.days"/>
      <sheetName val="FF-1"/>
      <sheetName val="factor"/>
      <sheetName val="Konton"/>
      <sheetName val="Budsjettoversikt"/>
      <sheetName val="2015 estimates"/>
      <sheetName val="Category"/>
      <sheetName val="list"/>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Guide"/>
      <sheetName val="HFM Input"/>
      <sheetName val="Other_DK (not in use)"/>
      <sheetName val="Web File adj Other for Q1-16"/>
      <sheetName val="Group Overview"/>
      <sheetName val="Mobile&amp;Fixed"/>
      <sheetName val="Other"/>
      <sheetName val="Broadcast"/>
      <sheetName val="Consensus Q3"/>
      <sheetName val="Table - Key Figures"/>
      <sheetName val="Table - OpCo's &amp; Other"/>
      <sheetName val="Table - Income Statement"/>
      <sheetName val="EBITDA Contribution -brukes den"/>
      <sheetName val="Table - Segments"/>
      <sheetName val="P&amp;L"/>
      <sheetName val="SpecItems"/>
      <sheetName val="Dep_Assoc._Fin."/>
      <sheetName val="Invest."/>
      <sheetName val="CashFlow"/>
      <sheetName val="Equity"/>
      <sheetName val="Balance sheet"/>
      <sheetName val="Ark3"/>
      <sheetName val="Exch.rates"/>
      <sheetName val="Analytical info. "/>
      <sheetName val="Group Overview Qtr."/>
      <sheetName val="Norway"/>
      <sheetName val="Denmark"/>
      <sheetName val="Sweden"/>
      <sheetName val="Bulgaria"/>
      <sheetName val="Hungary"/>
      <sheetName val="Montenegro &amp; Serbia"/>
      <sheetName val="dtac"/>
      <sheetName val="Digi"/>
      <sheetName val="Grameenphone"/>
      <sheetName val="Pakistan"/>
      <sheetName val="India"/>
      <sheetName val="Myanmar"/>
      <sheetName val="Broadcast "/>
      <sheetName val="Other units"/>
      <sheetName val="P &amp; L"/>
      <sheetName val="Segments"/>
      <sheetName val="Balance"/>
      <sheetName val="Cash Flow"/>
      <sheetName val="Special items"/>
      <sheetName val="Reconciliation"/>
      <sheetName val="Amort &amp; Depr"/>
      <sheetName val="Investments"/>
      <sheetName val="Analytical information"/>
      <sheetName val="Average exchange rates YTD"/>
      <sheetName val="Consensus Q2 old"/>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 val="Front"/>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AR109"/>
  <sheetViews>
    <sheetView showGridLines="0" topLeftCell="A88" zoomScale="75" workbookViewId="0">
      <pane xSplit="3" topLeftCell="D1" activePane="topRight" state="frozen"/>
      <selection activeCell="BZ407" sqref="BZ407"/>
      <selection pane="topRight" activeCell="X33" sqref="X33"/>
    </sheetView>
  </sheetViews>
  <sheetFormatPr defaultColWidth="11.42578125" defaultRowHeight="15" outlineLevelCol="1"/>
  <cols>
    <col min="1" max="1" width="4.42578125" style="24" customWidth="1"/>
    <col min="2" max="2" width="54" style="24" customWidth="1"/>
    <col min="3" max="3" width="12.28515625" style="24" customWidth="1"/>
    <col min="4" max="4" width="3.42578125" style="16" customWidth="1"/>
    <col min="5" max="5" width="10.85546875" style="16" bestFit="1" customWidth="1"/>
    <col min="6" max="6" width="11" style="16" bestFit="1" customWidth="1"/>
    <col min="7" max="7" width="9.42578125" style="16" bestFit="1" customWidth="1"/>
    <col min="8" max="8" width="11" style="16" bestFit="1" customWidth="1"/>
    <col min="9" max="9" width="3.42578125" style="16" customWidth="1"/>
    <col min="10" max="10" width="8.7109375" style="241" customWidth="1" outlineLevel="1"/>
    <col min="11" max="11" width="8.7109375" style="257" customWidth="1" outlineLevel="1"/>
    <col min="12" max="13" width="9.42578125" style="241" customWidth="1" outlineLevel="1"/>
    <col min="14" max="14" width="3.42578125" style="16" customWidth="1"/>
    <col min="15" max="15" width="12.28515625" style="241" hidden="1" customWidth="1" outlineLevel="1"/>
    <col min="16" max="16" width="12.28515625" style="257" hidden="1" customWidth="1" outlineLevel="1"/>
    <col min="17" max="18" width="12.28515625" style="241" hidden="1" customWidth="1" outlineLevel="1"/>
    <col min="19" max="19" width="3.42578125" style="16" customWidth="1" collapsed="1"/>
    <col min="20" max="20" width="12.28515625" style="14" hidden="1" customWidth="1" outlineLevel="1"/>
    <col min="21" max="21" width="12.28515625" style="24" hidden="1" customWidth="1" outlineLevel="1"/>
    <col min="22" max="23" width="12.28515625" style="14" hidden="1" customWidth="1" outlineLevel="1"/>
    <col min="24" max="24" width="3.42578125" style="16" customWidth="1" collapsed="1"/>
    <col min="25" max="26" width="9.42578125" style="16" bestFit="1" customWidth="1"/>
    <col min="27" max="28" width="11" style="16" bestFit="1" customWidth="1"/>
    <col min="29" max="29" width="3.42578125" style="16" customWidth="1"/>
    <col min="30" max="33" width="11.85546875" style="14" customWidth="1" outlineLevel="1"/>
    <col min="34" max="34" width="3.42578125" style="16" customWidth="1"/>
    <col min="35" max="38" width="11.85546875" style="14" hidden="1" customWidth="1" outlineLevel="1"/>
    <col min="39" max="39" width="3.42578125" style="16" customWidth="1" collapsed="1"/>
    <col min="40" max="43" width="11.85546875" style="14" hidden="1" customWidth="1" outlineLevel="1"/>
    <col min="44" max="44" width="2.85546875" style="16" customWidth="1" collapsed="1"/>
    <col min="45" max="16384" width="11.42578125" style="24"/>
  </cols>
  <sheetData>
    <row r="1" spans="2:44" s="61" customFormat="1">
      <c r="D1" s="63"/>
      <c r="E1" s="63"/>
      <c r="F1" s="63"/>
      <c r="G1" s="63"/>
      <c r="H1" s="63"/>
      <c r="I1" s="63"/>
      <c r="J1" s="240"/>
      <c r="K1" s="253"/>
      <c r="L1" s="240"/>
      <c r="M1" s="240"/>
      <c r="N1" s="63"/>
      <c r="O1" s="240"/>
      <c r="P1" s="253"/>
      <c r="Q1" s="240"/>
      <c r="R1" s="240"/>
      <c r="S1" s="63"/>
      <c r="T1" s="62"/>
      <c r="V1" s="62"/>
      <c r="W1" s="62"/>
      <c r="X1" s="63"/>
      <c r="Y1" s="63"/>
      <c r="Z1" s="63"/>
      <c r="AA1" s="63"/>
      <c r="AB1" s="63"/>
      <c r="AC1" s="63"/>
      <c r="AD1" s="62"/>
      <c r="AE1" s="62"/>
      <c r="AF1" s="62"/>
      <c r="AG1" s="62"/>
      <c r="AH1" s="63"/>
      <c r="AI1" s="62"/>
      <c r="AJ1" s="62"/>
      <c r="AK1" s="62"/>
      <c r="AL1" s="62"/>
      <c r="AM1" s="63"/>
      <c r="AN1" s="62"/>
      <c r="AO1" s="62"/>
      <c r="AP1" s="62"/>
      <c r="AQ1" s="62"/>
      <c r="AR1" s="63"/>
    </row>
    <row r="2" spans="2:44" s="16" customFormat="1">
      <c r="J2" s="246"/>
      <c r="K2" s="246"/>
      <c r="L2" s="246"/>
      <c r="M2" s="246"/>
      <c r="O2" s="246"/>
      <c r="P2" s="246"/>
      <c r="Q2" s="246"/>
      <c r="R2" s="246"/>
    </row>
    <row r="3" spans="2:44" ht="18">
      <c r="B3" s="27"/>
      <c r="C3" s="27"/>
      <c r="D3" s="64"/>
      <c r="E3" s="64"/>
      <c r="F3" s="64"/>
      <c r="G3" s="64"/>
      <c r="H3" s="64"/>
      <c r="I3" s="64"/>
      <c r="J3" s="254"/>
      <c r="K3" s="255"/>
      <c r="L3" s="254"/>
      <c r="M3" s="254"/>
      <c r="N3" s="64"/>
      <c r="O3" s="254"/>
      <c r="P3" s="255"/>
      <c r="Q3" s="254"/>
      <c r="R3" s="254"/>
      <c r="S3" s="64"/>
      <c r="T3" s="28"/>
      <c r="U3" s="27"/>
      <c r="V3" s="28"/>
      <c r="W3" s="28"/>
      <c r="X3" s="64"/>
      <c r="Y3" s="64"/>
      <c r="Z3" s="64"/>
      <c r="AA3" s="64"/>
      <c r="AB3" s="64"/>
      <c r="AC3" s="64"/>
      <c r="AD3" s="18"/>
      <c r="AE3" s="18"/>
      <c r="AF3" s="18"/>
      <c r="AG3" s="18"/>
      <c r="AH3" s="64"/>
      <c r="AI3" s="18"/>
      <c r="AJ3" s="18"/>
      <c r="AK3" s="18"/>
      <c r="AL3" s="18"/>
      <c r="AM3" s="64"/>
      <c r="AN3" s="18"/>
      <c r="AO3" s="18"/>
      <c r="AP3" s="18"/>
      <c r="AQ3" s="18"/>
      <c r="AR3" s="64"/>
    </row>
    <row r="4" spans="2:44" ht="15.75">
      <c r="B4" s="37" t="s">
        <v>483</v>
      </c>
      <c r="C4" s="252" t="e">
        <f>VALUE("20"&amp;LEFT(#REF!,2))</f>
        <v>#REF!</v>
      </c>
      <c r="D4" s="29"/>
      <c r="E4" s="242" t="s">
        <v>481</v>
      </c>
      <c r="F4" s="243"/>
      <c r="G4" s="243"/>
      <c r="H4" s="243"/>
      <c r="I4" s="29"/>
      <c r="J4" s="306"/>
      <c r="K4" s="306" t="s">
        <v>481</v>
      </c>
      <c r="L4" s="243"/>
      <c r="M4" s="243"/>
      <c r="N4" s="29"/>
      <c r="O4" s="242" t="s">
        <v>481</v>
      </c>
      <c r="P4" s="243"/>
      <c r="Q4" s="243"/>
      <c r="R4" s="243"/>
      <c r="S4" s="29"/>
      <c r="T4" s="242" t="s">
        <v>481</v>
      </c>
      <c r="U4" s="38"/>
      <c r="V4" s="38"/>
      <c r="W4" s="38"/>
      <c r="X4" s="29"/>
      <c r="Y4" s="37" t="s">
        <v>482</v>
      </c>
      <c r="Z4" s="38"/>
      <c r="AA4" s="38"/>
      <c r="AB4" s="38"/>
      <c r="AC4" s="29"/>
      <c r="AD4" s="37" t="s">
        <v>482</v>
      </c>
      <c r="AE4" s="38"/>
      <c r="AF4" s="38"/>
      <c r="AG4" s="38"/>
      <c r="AH4" s="29"/>
      <c r="AI4" s="37" t="s">
        <v>482</v>
      </c>
      <c r="AJ4" s="38"/>
      <c r="AK4" s="38"/>
      <c r="AL4" s="38"/>
      <c r="AM4" s="29"/>
      <c r="AN4" s="37" t="s">
        <v>482</v>
      </c>
      <c r="AO4" s="38"/>
      <c r="AP4" s="38"/>
      <c r="AQ4" s="38"/>
      <c r="AR4" s="29"/>
    </row>
    <row r="5" spans="2:44" s="14" customFormat="1" ht="15.75">
      <c r="B5" s="56"/>
      <c r="C5" s="60"/>
      <c r="D5" s="58"/>
      <c r="E5" s="248"/>
      <c r="F5" s="249"/>
      <c r="G5" s="249"/>
      <c r="H5" s="249"/>
      <c r="I5" s="58"/>
      <c r="J5" s="248"/>
      <c r="K5" s="249"/>
      <c r="L5" s="249"/>
      <c r="M5" s="249"/>
      <c r="N5" s="58"/>
      <c r="O5" s="248"/>
      <c r="P5" s="249"/>
      <c r="Q5" s="249"/>
      <c r="R5" s="249"/>
      <c r="S5" s="58"/>
      <c r="T5" s="57"/>
      <c r="U5" s="58"/>
      <c r="V5" s="58"/>
      <c r="W5" s="58"/>
      <c r="X5" s="58"/>
      <c r="Y5" s="57"/>
      <c r="Z5" s="58"/>
      <c r="AA5" s="58"/>
      <c r="AB5" s="58"/>
      <c r="AC5" s="58"/>
      <c r="AD5" s="57"/>
      <c r="AE5" s="58"/>
      <c r="AF5" s="58"/>
      <c r="AG5" s="58"/>
      <c r="AH5" s="58"/>
      <c r="AI5" s="57"/>
      <c r="AJ5" s="58"/>
      <c r="AK5" s="58"/>
      <c r="AL5" s="58"/>
      <c r="AM5" s="58"/>
      <c r="AN5" s="57"/>
      <c r="AO5" s="58"/>
      <c r="AP5" s="58"/>
      <c r="AQ5" s="58"/>
      <c r="AR5" s="58"/>
    </row>
    <row r="6" spans="2:44" s="14" customFormat="1" ht="15.75">
      <c r="B6" s="56"/>
      <c r="C6" s="60"/>
      <c r="D6" s="58"/>
      <c r="E6" s="248"/>
      <c r="F6" s="249"/>
      <c r="G6" s="249"/>
      <c r="H6" s="249"/>
      <c r="I6" s="58"/>
      <c r="J6" s="248"/>
      <c r="K6" s="249"/>
      <c r="L6" s="249"/>
      <c r="M6" s="249"/>
      <c r="N6" s="58"/>
      <c r="O6" s="248"/>
      <c r="P6" s="249"/>
      <c r="Q6" s="249"/>
      <c r="R6" s="249"/>
      <c r="S6" s="58"/>
      <c r="T6" s="57"/>
      <c r="U6" s="58"/>
      <c r="V6" s="58"/>
      <c r="W6" s="58"/>
      <c r="X6" s="58"/>
      <c r="Y6" s="57"/>
      <c r="Z6" s="58"/>
      <c r="AA6" s="58"/>
      <c r="AB6" s="58"/>
      <c r="AC6" s="58"/>
      <c r="AD6" s="57"/>
      <c r="AE6" s="58"/>
      <c r="AF6" s="58"/>
      <c r="AG6" s="58"/>
      <c r="AH6" s="58"/>
      <c r="AI6" s="57"/>
      <c r="AJ6" s="58"/>
      <c r="AK6" s="58"/>
      <c r="AL6" s="58"/>
      <c r="AM6" s="58"/>
      <c r="AN6" s="57"/>
      <c r="AO6" s="58"/>
      <c r="AP6" s="58"/>
      <c r="AQ6" s="58"/>
      <c r="AR6" s="58"/>
    </row>
    <row r="7" spans="2:44" ht="15.75">
      <c r="B7" s="33" t="s">
        <v>48</v>
      </c>
      <c r="C7" s="33"/>
      <c r="D7" s="17"/>
      <c r="E7" s="244"/>
      <c r="F7" s="575">
        <v>2014</v>
      </c>
      <c r="G7" s="575"/>
      <c r="H7" s="244"/>
      <c r="I7" s="17"/>
      <c r="J7" s="244"/>
      <c r="K7" s="575">
        <v>2013</v>
      </c>
      <c r="L7" s="575"/>
      <c r="M7" s="244"/>
      <c r="N7" s="17"/>
      <c r="O7" s="244"/>
      <c r="P7" s="575">
        <v>2012</v>
      </c>
      <c r="Q7" s="575"/>
      <c r="R7" s="244"/>
      <c r="S7" s="17"/>
      <c r="T7" s="36"/>
      <c r="U7" s="573">
        <v>2011</v>
      </c>
      <c r="V7" s="573"/>
      <c r="W7" s="36"/>
      <c r="X7" s="17"/>
      <c r="Y7" s="36"/>
      <c r="Z7" s="573">
        <v>2014</v>
      </c>
      <c r="AA7" s="573"/>
      <c r="AB7" s="36"/>
      <c r="AC7" s="17"/>
      <c r="AD7" s="36"/>
      <c r="AE7" s="573">
        <v>2013</v>
      </c>
      <c r="AF7" s="573"/>
      <c r="AG7" s="36"/>
      <c r="AH7" s="17"/>
      <c r="AI7" s="36"/>
      <c r="AJ7" s="573">
        <v>2012</v>
      </c>
      <c r="AK7" s="573"/>
      <c r="AL7" s="36"/>
      <c r="AM7" s="17"/>
      <c r="AN7" s="36"/>
      <c r="AO7" s="573">
        <v>2011</v>
      </c>
      <c r="AP7" s="573"/>
      <c r="AQ7" s="36"/>
      <c r="AR7" s="17"/>
    </row>
    <row r="8" spans="2:44" ht="16.5" thickBot="1">
      <c r="B8" s="34" t="s">
        <v>67</v>
      </c>
      <c r="C8" s="35" t="e">
        <f>IF(RIGHT(#REF!,2)="12",RIGHT(#REF!,2)&amp;"M",RIGHT(#REF!,1)&amp;"M")</f>
        <v>#REF!</v>
      </c>
      <c r="E8" s="245" t="s">
        <v>528</v>
      </c>
      <c r="F8" s="245" t="s">
        <v>529</v>
      </c>
      <c r="G8" s="245" t="s">
        <v>530</v>
      </c>
      <c r="H8" s="245" t="s">
        <v>531</v>
      </c>
      <c r="J8" s="245" t="s">
        <v>528</v>
      </c>
      <c r="K8" s="245" t="s">
        <v>529</v>
      </c>
      <c r="L8" s="245" t="s">
        <v>530</v>
      </c>
      <c r="M8" s="245" t="s">
        <v>531</v>
      </c>
      <c r="O8" s="245" t="s">
        <v>528</v>
      </c>
      <c r="P8" s="245" t="s">
        <v>529</v>
      </c>
      <c r="Q8" s="245" t="s">
        <v>530</v>
      </c>
      <c r="R8" s="245" t="s">
        <v>531</v>
      </c>
      <c r="T8" s="35" t="s">
        <v>528</v>
      </c>
      <c r="U8" s="35" t="s">
        <v>529</v>
      </c>
      <c r="V8" s="35" t="s">
        <v>530</v>
      </c>
      <c r="W8" s="35" t="s">
        <v>531</v>
      </c>
      <c r="Y8" s="35" t="s">
        <v>510</v>
      </c>
      <c r="Z8" s="35" t="s">
        <v>511</v>
      </c>
      <c r="AA8" s="35" t="s">
        <v>513</v>
      </c>
      <c r="AB8" s="35" t="s">
        <v>514</v>
      </c>
      <c r="AD8" s="35" t="s">
        <v>510</v>
      </c>
      <c r="AE8" s="35" t="s">
        <v>511</v>
      </c>
      <c r="AF8" s="35" t="s">
        <v>513</v>
      </c>
      <c r="AG8" s="35" t="s">
        <v>514</v>
      </c>
      <c r="AI8" s="35" t="s">
        <v>510</v>
      </c>
      <c r="AJ8" s="35" t="s">
        <v>511</v>
      </c>
      <c r="AK8" s="35" t="s">
        <v>513</v>
      </c>
      <c r="AL8" s="35" t="s">
        <v>514</v>
      </c>
      <c r="AN8" s="35" t="s">
        <v>510</v>
      </c>
      <c r="AO8" s="35" t="s">
        <v>511</v>
      </c>
      <c r="AP8" s="35" t="s">
        <v>513</v>
      </c>
      <c r="AQ8" s="35" t="s">
        <v>514</v>
      </c>
    </row>
    <row r="9" spans="2:44" s="14" customFormat="1">
      <c r="B9" s="50" t="s">
        <v>371</v>
      </c>
      <c r="C9" s="51" t="e">
        <f>#REF!/1000</f>
        <v>#REF!</v>
      </c>
      <c r="D9" s="21"/>
      <c r="E9" s="230">
        <v>624.95808149584104</v>
      </c>
      <c r="F9" s="230">
        <v>1318.0032476044701</v>
      </c>
      <c r="G9" s="230">
        <v>2159.4520225397901</v>
      </c>
      <c r="H9" s="230" t="e">
        <f t="shared" ref="H9" si="0">IF(AND($F$7=VALUE($C$4),H$8=$C$8),$C9,0)</f>
        <v>#REF!</v>
      </c>
      <c r="I9" s="21"/>
      <c r="J9" s="230">
        <v>557.12123716189001</v>
      </c>
      <c r="K9" s="230">
        <v>1148.6782891865598</v>
      </c>
      <c r="L9" s="230">
        <v>1748.8957047162498</v>
      </c>
      <c r="M9" s="230">
        <v>2357.9510373292101</v>
      </c>
      <c r="N9" s="21"/>
      <c r="O9" s="230">
        <v>541.9409295112099</v>
      </c>
      <c r="P9" s="230">
        <v>1117.34838652761</v>
      </c>
      <c r="Q9" s="230">
        <v>1704.1212059884799</v>
      </c>
      <c r="R9" s="230">
        <v>2321.47038436303</v>
      </c>
      <c r="S9" s="21"/>
      <c r="T9" s="230">
        <v>519.63256318250296</v>
      </c>
      <c r="U9" s="230">
        <v>1060.04090678032</v>
      </c>
      <c r="V9" s="230">
        <v>1603.9156067102599</v>
      </c>
      <c r="W9" s="230">
        <v>2163.8117132318803</v>
      </c>
      <c r="X9" s="21"/>
      <c r="Y9" s="52">
        <f t="shared" ref="Y9:Y24" si="1">+E9</f>
        <v>624.95808149584104</v>
      </c>
      <c r="Z9" s="52">
        <f>+F9-E9</f>
        <v>693.04516610862902</v>
      </c>
      <c r="AA9" s="52">
        <f t="shared" ref="AA9:AB24" si="2">+G9-F9</f>
        <v>841.44877493531999</v>
      </c>
      <c r="AB9" s="52" t="e">
        <f t="shared" si="2"/>
        <v>#REF!</v>
      </c>
      <c r="AC9" s="21"/>
      <c r="AD9" s="52">
        <f t="shared" ref="AD9:AD24" si="3">+J9</f>
        <v>557.12123716189001</v>
      </c>
      <c r="AE9" s="52">
        <f t="shared" ref="AE9:AG24" si="4">+K9-J9</f>
        <v>591.55705202466982</v>
      </c>
      <c r="AF9" s="52">
        <f t="shared" si="4"/>
        <v>600.21741552969002</v>
      </c>
      <c r="AG9" s="52">
        <f t="shared" si="4"/>
        <v>609.05533261296023</v>
      </c>
      <c r="AH9" s="21"/>
      <c r="AI9" s="52">
        <f t="shared" ref="AI9:AI24" si="5">+O9</f>
        <v>541.9409295112099</v>
      </c>
      <c r="AJ9" s="52">
        <f t="shared" ref="AJ9:AL24" si="6">+P9-O9</f>
        <v>575.40745701640014</v>
      </c>
      <c r="AK9" s="52">
        <f t="shared" si="6"/>
        <v>586.77281946086987</v>
      </c>
      <c r="AL9" s="52">
        <f t="shared" si="6"/>
        <v>617.34917837455009</v>
      </c>
      <c r="AM9" s="21"/>
      <c r="AN9" s="52">
        <f t="shared" ref="AN9:AN24" si="7">+T9</f>
        <v>519.63256318250296</v>
      </c>
      <c r="AO9" s="52">
        <f t="shared" ref="AO9:AQ24" si="8">+U9-T9</f>
        <v>540.40834359781707</v>
      </c>
      <c r="AP9" s="52">
        <f t="shared" si="8"/>
        <v>543.87469992993988</v>
      </c>
      <c r="AQ9" s="52">
        <f t="shared" si="8"/>
        <v>559.89610652162037</v>
      </c>
      <c r="AR9" s="21"/>
    </row>
    <row r="10" spans="2:44" s="14" customFormat="1">
      <c r="B10" s="16" t="s">
        <v>372</v>
      </c>
      <c r="C10" s="19" t="e">
        <f>#REF!/1000</f>
        <v>#REF!</v>
      </c>
      <c r="D10" s="21"/>
      <c r="E10" s="233" t="e">
        <f>679.759344494966+#REF!</f>
        <v>#REF!</v>
      </c>
      <c r="F10" s="233">
        <v>1388.3162842811621</v>
      </c>
      <c r="G10" s="233" t="e">
        <f>2046.21376846483+#REF!</f>
        <v>#REF!</v>
      </c>
      <c r="H10" s="233" t="e">
        <f>IF(AND($F$7=VALUE($C$4),H$8=$C$8),$C10,0)+#REF!</f>
        <v>#REF!</v>
      </c>
      <c r="I10" s="21"/>
      <c r="J10" s="233" t="e">
        <f>584.5479569968+#REF!</f>
        <v>#REF!</v>
      </c>
      <c r="K10" s="233" t="e">
        <f>1180.8875917161++#REF!</f>
        <v>#REF!</v>
      </c>
      <c r="L10" s="233" t="e">
        <f>1765.44127254545+#REF!</f>
        <v>#REF!</v>
      </c>
      <c r="M10" s="233" t="e">
        <f>2451.34714548727++#REF!</f>
        <v>#REF!</v>
      </c>
      <c r="N10" s="21"/>
      <c r="O10" s="233">
        <v>612.07918008429999</v>
      </c>
      <c r="P10" s="233">
        <v>1259.8646706456002</v>
      </c>
      <c r="Q10" s="233">
        <v>1869.9466459700998</v>
      </c>
      <c r="R10" s="233">
        <v>2490.4933509480998</v>
      </c>
      <c r="S10" s="21"/>
      <c r="T10" s="233">
        <v>622.1398414110771</v>
      </c>
      <c r="U10" s="233">
        <v>1262.9807898335698</v>
      </c>
      <c r="V10" s="233">
        <v>1903.5077852309403</v>
      </c>
      <c r="W10" s="233">
        <v>2546.9779341117701</v>
      </c>
      <c r="X10" s="21"/>
      <c r="Y10" s="15" t="e">
        <f t="shared" si="1"/>
        <v>#REF!</v>
      </c>
      <c r="Z10" s="15" t="e">
        <f t="shared" ref="Z10:Z24" si="9">+F10-E10</f>
        <v>#REF!</v>
      </c>
      <c r="AA10" s="15" t="e">
        <f t="shared" si="2"/>
        <v>#REF!</v>
      </c>
      <c r="AB10" s="15" t="e">
        <f t="shared" si="2"/>
        <v>#REF!</v>
      </c>
      <c r="AC10" s="21"/>
      <c r="AD10" s="15" t="e">
        <f t="shared" si="3"/>
        <v>#REF!</v>
      </c>
      <c r="AE10" s="15" t="e">
        <f t="shared" si="4"/>
        <v>#REF!</v>
      </c>
      <c r="AF10" s="15" t="e">
        <f t="shared" si="4"/>
        <v>#REF!</v>
      </c>
      <c r="AG10" s="15" t="e">
        <f t="shared" si="4"/>
        <v>#REF!</v>
      </c>
      <c r="AH10" s="21"/>
      <c r="AI10" s="15">
        <f t="shared" si="5"/>
        <v>612.07918008429999</v>
      </c>
      <c r="AJ10" s="15">
        <f t="shared" si="6"/>
        <v>647.78549056130021</v>
      </c>
      <c r="AK10" s="15">
        <f t="shared" si="6"/>
        <v>610.08197532449958</v>
      </c>
      <c r="AL10" s="15">
        <f t="shared" si="6"/>
        <v>620.54670497799998</v>
      </c>
      <c r="AM10" s="21"/>
      <c r="AN10" s="15">
        <f t="shared" si="7"/>
        <v>622.1398414110771</v>
      </c>
      <c r="AO10" s="15">
        <f t="shared" si="8"/>
        <v>640.84094842249272</v>
      </c>
      <c r="AP10" s="15">
        <f t="shared" si="8"/>
        <v>640.52699539737046</v>
      </c>
      <c r="AQ10" s="15">
        <f t="shared" si="8"/>
        <v>643.47014888082981</v>
      </c>
      <c r="AR10" s="21"/>
    </row>
    <row r="11" spans="2:44" ht="15.75">
      <c r="B11" s="42" t="s">
        <v>417</v>
      </c>
      <c r="C11" s="43" t="e">
        <f>+C9+C10</f>
        <v>#REF!</v>
      </c>
      <c r="D11" s="23"/>
      <c r="E11" s="43" t="e">
        <f>+E9+E10</f>
        <v>#REF!</v>
      </c>
      <c r="F11" s="43">
        <v>2706.3195318856324</v>
      </c>
      <c r="G11" s="43" t="e">
        <f>+G9+G10</f>
        <v>#REF!</v>
      </c>
      <c r="H11" s="43" t="e">
        <f>+H9+H10</f>
        <v>#REF!</v>
      </c>
      <c r="I11" s="23"/>
      <c r="J11" s="43" t="e">
        <f>+J9+J10</f>
        <v>#REF!</v>
      </c>
      <c r="K11" s="43" t="e">
        <f>+K9+K10</f>
        <v>#REF!</v>
      </c>
      <c r="L11" s="43" t="e">
        <f>+L9+L10</f>
        <v>#REF!</v>
      </c>
      <c r="M11" s="43" t="e">
        <f>+M9+M10</f>
        <v>#REF!</v>
      </c>
      <c r="N11" s="23"/>
      <c r="O11" s="43">
        <f t="shared" ref="O11:W11" si="10">+O9+O10</f>
        <v>1154.0201095955099</v>
      </c>
      <c r="P11" s="43">
        <f t="shared" si="10"/>
        <v>2377.2130571732105</v>
      </c>
      <c r="Q11" s="43">
        <f t="shared" si="10"/>
        <v>3574.0678519585799</v>
      </c>
      <c r="R11" s="43">
        <f t="shared" si="10"/>
        <v>4811.9637353111302</v>
      </c>
      <c r="S11" s="23"/>
      <c r="T11" s="43">
        <f t="shared" si="10"/>
        <v>1141.7724045935802</v>
      </c>
      <c r="U11" s="43">
        <f t="shared" si="10"/>
        <v>2323.0216966138896</v>
      </c>
      <c r="V11" s="43">
        <f t="shared" si="10"/>
        <v>3507.4233919412</v>
      </c>
      <c r="W11" s="43">
        <f t="shared" si="10"/>
        <v>4710.7896473436504</v>
      </c>
      <c r="X11" s="23"/>
      <c r="Y11" s="44" t="e">
        <f t="shared" si="1"/>
        <v>#REF!</v>
      </c>
      <c r="Z11" s="44" t="e">
        <f t="shared" si="9"/>
        <v>#REF!</v>
      </c>
      <c r="AA11" s="44" t="e">
        <f t="shared" si="2"/>
        <v>#REF!</v>
      </c>
      <c r="AB11" s="44" t="e">
        <f t="shared" si="2"/>
        <v>#REF!</v>
      </c>
      <c r="AC11" s="23"/>
      <c r="AD11" s="44" t="e">
        <f t="shared" si="3"/>
        <v>#REF!</v>
      </c>
      <c r="AE11" s="44" t="e">
        <f t="shared" si="4"/>
        <v>#REF!</v>
      </c>
      <c r="AF11" s="44" t="e">
        <f t="shared" si="4"/>
        <v>#REF!</v>
      </c>
      <c r="AG11" s="44" t="e">
        <f t="shared" si="4"/>
        <v>#REF!</v>
      </c>
      <c r="AH11" s="23"/>
      <c r="AI11" s="44">
        <f t="shared" si="5"/>
        <v>1154.0201095955099</v>
      </c>
      <c r="AJ11" s="44">
        <f t="shared" si="6"/>
        <v>1223.1929475777006</v>
      </c>
      <c r="AK11" s="44">
        <f t="shared" si="6"/>
        <v>1196.8547947853694</v>
      </c>
      <c r="AL11" s="44">
        <f t="shared" si="6"/>
        <v>1237.8958833525503</v>
      </c>
      <c r="AM11" s="23"/>
      <c r="AN11" s="44">
        <f t="shared" si="7"/>
        <v>1141.7724045935802</v>
      </c>
      <c r="AO11" s="44">
        <f t="shared" si="8"/>
        <v>1181.2492920203094</v>
      </c>
      <c r="AP11" s="44">
        <f t="shared" si="8"/>
        <v>1184.4016953273103</v>
      </c>
      <c r="AQ11" s="44">
        <f t="shared" si="8"/>
        <v>1203.3662554024504</v>
      </c>
      <c r="AR11" s="23"/>
    </row>
    <row r="12" spans="2:44" s="14" customFormat="1" ht="15.75">
      <c r="B12" s="42" t="s">
        <v>486</v>
      </c>
      <c r="C12" s="43" t="e">
        <f>+#REF!/1000</f>
        <v>#REF!</v>
      </c>
      <c r="D12" s="23"/>
      <c r="E12" s="234" t="e">
        <f>-189.12548470019+#REF!</f>
        <v>#REF!</v>
      </c>
      <c r="F12" s="234">
        <v>-333.54784974212509</v>
      </c>
      <c r="G12" s="234" t="e">
        <f>-361.403495536296+#REF!</f>
        <v>#REF!</v>
      </c>
      <c r="H12" s="234" t="e">
        <f>IF(AND($F$7=VALUE($C$4),H$8=$C$8),$C12,0)+#REF!</f>
        <v>#REF!</v>
      </c>
      <c r="I12" s="23"/>
      <c r="J12" s="234" t="e">
        <f>-215.576864973003+#REF!</f>
        <v>#REF!</v>
      </c>
      <c r="K12" s="234" t="e">
        <f>-468.722449547717+#REF!</f>
        <v>#REF!</v>
      </c>
      <c r="L12" s="234" t="e">
        <f>-617.933149871372+#REF!</f>
        <v>#REF!</v>
      </c>
      <c r="M12" s="234" t="e">
        <f>-877.05495404466+#REF!</f>
        <v>#REF!</v>
      </c>
      <c r="N12" s="23"/>
      <c r="O12" s="234">
        <v>-228.83798871936199</v>
      </c>
      <c r="P12" s="234">
        <v>-357.771130888936</v>
      </c>
      <c r="Q12" s="234">
        <v>-447.13447779484198</v>
      </c>
      <c r="R12" s="234">
        <v>-675.52629087128605</v>
      </c>
      <c r="S12" s="23"/>
      <c r="T12" s="234">
        <v>-184.26688431078099</v>
      </c>
      <c r="U12" s="234">
        <v>-433.21172541219096</v>
      </c>
      <c r="V12" s="234">
        <v>-511.94836812214299</v>
      </c>
      <c r="W12" s="234">
        <v>-632.72529017999989</v>
      </c>
      <c r="X12" s="23"/>
      <c r="Y12" s="44" t="e">
        <f t="shared" si="1"/>
        <v>#REF!</v>
      </c>
      <c r="Z12" s="44" t="e">
        <f t="shared" si="9"/>
        <v>#REF!</v>
      </c>
      <c r="AA12" s="44" t="e">
        <f t="shared" si="2"/>
        <v>#REF!</v>
      </c>
      <c r="AB12" s="44" t="e">
        <f t="shared" si="2"/>
        <v>#REF!</v>
      </c>
      <c r="AC12" s="23"/>
      <c r="AD12" s="44" t="e">
        <f t="shared" si="3"/>
        <v>#REF!</v>
      </c>
      <c r="AE12" s="44" t="e">
        <f t="shared" si="4"/>
        <v>#REF!</v>
      </c>
      <c r="AF12" s="44" t="e">
        <f t="shared" si="4"/>
        <v>#REF!</v>
      </c>
      <c r="AG12" s="44" t="e">
        <f t="shared" si="4"/>
        <v>#REF!</v>
      </c>
      <c r="AH12" s="23"/>
      <c r="AI12" s="44">
        <f t="shared" si="5"/>
        <v>-228.83798871936199</v>
      </c>
      <c r="AJ12" s="44">
        <f t="shared" si="6"/>
        <v>-128.93314216957401</v>
      </c>
      <c r="AK12" s="44">
        <f t="shared" si="6"/>
        <v>-89.363346905905985</v>
      </c>
      <c r="AL12" s="44">
        <f t="shared" si="6"/>
        <v>-228.39181307644407</v>
      </c>
      <c r="AM12" s="23"/>
      <c r="AN12" s="44">
        <f t="shared" si="7"/>
        <v>-184.26688431078099</v>
      </c>
      <c r="AO12" s="44">
        <f t="shared" si="8"/>
        <v>-248.94484110140996</v>
      </c>
      <c r="AP12" s="44">
        <f t="shared" si="8"/>
        <v>-78.736642709952037</v>
      </c>
      <c r="AQ12" s="44">
        <f t="shared" si="8"/>
        <v>-120.77692205785689</v>
      </c>
      <c r="AR12" s="23"/>
    </row>
    <row r="13" spans="2:44" s="14" customFormat="1">
      <c r="B13" s="50" t="s">
        <v>470</v>
      </c>
      <c r="C13" s="46" t="e">
        <f>SUM(#REF!)/1000</f>
        <v>#REF!</v>
      </c>
      <c r="D13" s="21"/>
      <c r="E13" s="231" t="e">
        <f>-0.5903589313+#REF!</f>
        <v>#REF!</v>
      </c>
      <c r="F13" s="231">
        <v>17.136190409400001</v>
      </c>
      <c r="G13" s="231" t="e">
        <f>5.4415813212+#REF!</f>
        <v>#REF!</v>
      </c>
      <c r="H13" s="231" t="e">
        <f>IF(AND($F$7=VALUE($C$4),H$8=$C$8),$C13,0)+#REF!</f>
        <v>#REF!</v>
      </c>
      <c r="I13" s="21"/>
      <c r="J13" s="231" t="e">
        <f>5.1752900228+#REF!</f>
        <v>#REF!</v>
      </c>
      <c r="K13" s="231" t="e">
        <f>15.995652793+#REF!</f>
        <v>#REF!</v>
      </c>
      <c r="L13" s="231" t="e">
        <f>16.45127577+#REF!</f>
        <v>#REF!</v>
      </c>
      <c r="M13" s="231" t="e">
        <f>23.5476336050001+#REF!</f>
        <v>#REF!</v>
      </c>
      <c r="N13" s="21"/>
      <c r="O13" s="231">
        <v>7.9635174399999994E-2</v>
      </c>
      <c r="P13" s="231">
        <v>-14.940574032400201</v>
      </c>
      <c r="Q13" s="231">
        <v>0.2817978377420004</v>
      </c>
      <c r="R13" s="231">
        <v>6.6370352381510003</v>
      </c>
      <c r="S13" s="21"/>
      <c r="T13" s="231">
        <v>22.7171763626</v>
      </c>
      <c r="U13" s="231">
        <v>33.135476201400003</v>
      </c>
      <c r="V13" s="231">
        <v>131.00301900905501</v>
      </c>
      <c r="W13" s="231">
        <v>188.56578531881101</v>
      </c>
      <c r="X13" s="21"/>
      <c r="Y13" s="47" t="e">
        <f t="shared" si="1"/>
        <v>#REF!</v>
      </c>
      <c r="Z13" s="47" t="e">
        <f t="shared" si="9"/>
        <v>#REF!</v>
      </c>
      <c r="AA13" s="47" t="e">
        <f t="shared" si="2"/>
        <v>#REF!</v>
      </c>
      <c r="AB13" s="47" t="e">
        <f t="shared" si="2"/>
        <v>#REF!</v>
      </c>
      <c r="AC13" s="21"/>
      <c r="AD13" s="47" t="e">
        <f t="shared" si="3"/>
        <v>#REF!</v>
      </c>
      <c r="AE13" s="47" t="e">
        <f t="shared" si="4"/>
        <v>#REF!</v>
      </c>
      <c r="AF13" s="47" t="e">
        <f t="shared" si="4"/>
        <v>#REF!</v>
      </c>
      <c r="AG13" s="47" t="e">
        <f t="shared" si="4"/>
        <v>#REF!</v>
      </c>
      <c r="AH13" s="21"/>
      <c r="AI13" s="47">
        <f t="shared" si="5"/>
        <v>7.9635174399999994E-2</v>
      </c>
      <c r="AJ13" s="47">
        <f t="shared" si="6"/>
        <v>-15.020209206800201</v>
      </c>
      <c r="AK13" s="47">
        <f t="shared" si="6"/>
        <v>15.222371870142203</v>
      </c>
      <c r="AL13" s="47">
        <f t="shared" si="6"/>
        <v>6.355237400409</v>
      </c>
      <c r="AM13" s="21"/>
      <c r="AN13" s="47">
        <f t="shared" si="7"/>
        <v>22.7171763626</v>
      </c>
      <c r="AO13" s="47">
        <f t="shared" si="8"/>
        <v>10.418299838800003</v>
      </c>
      <c r="AP13" s="47">
        <f t="shared" si="8"/>
        <v>97.867542807655013</v>
      </c>
      <c r="AQ13" s="47">
        <f t="shared" si="8"/>
        <v>57.562766309756</v>
      </c>
      <c r="AR13" s="21"/>
    </row>
    <row r="14" spans="2:44" s="14" customFormat="1">
      <c r="B14" s="50" t="s">
        <v>487</v>
      </c>
      <c r="C14" s="51" t="e">
        <f>+#REF!/1000</f>
        <v>#REF!</v>
      </c>
      <c r="D14" s="21"/>
      <c r="E14" s="230" t="e">
        <f>-9.0493395375+#REF!</f>
        <v>#REF!</v>
      </c>
      <c r="F14" s="230">
        <v>-139.4847537668</v>
      </c>
      <c r="G14" s="230" t="e">
        <f>-155.866681474+#REF!</f>
        <v>#REF!</v>
      </c>
      <c r="H14" s="230" t="e">
        <f>IF(AND($F$7=VALUE($C$4),H$8=$C$8),$C14,0)+#REF!</f>
        <v>#REF!</v>
      </c>
      <c r="I14" s="21"/>
      <c r="J14" s="230" t="e">
        <f>-37.8567231173+#REF!</f>
        <v>#REF!</v>
      </c>
      <c r="K14" s="230" t="e">
        <f>-104.9581126536+#REF!</f>
        <v>#REF!</v>
      </c>
      <c r="L14" s="230" t="e">
        <f>-186.9315221935+#REF!</f>
        <v>#REF!</v>
      </c>
      <c r="M14" s="230" t="e">
        <f>-211.0095790258+#REF!</f>
        <v>#REF!</v>
      </c>
      <c r="N14" s="21"/>
      <c r="O14" s="230">
        <v>-4.6490479999999996</v>
      </c>
      <c r="P14" s="230">
        <v>-13.381875460000002</v>
      </c>
      <c r="Q14" s="230">
        <v>-31.763107560000002</v>
      </c>
      <c r="R14" s="230">
        <v>-47.575024689999999</v>
      </c>
      <c r="S14" s="21"/>
      <c r="T14" s="230">
        <v>-8.1602149458100008</v>
      </c>
      <c r="U14" s="230">
        <v>-8.9616350451999995</v>
      </c>
      <c r="V14" s="230">
        <v>-12.58386174</v>
      </c>
      <c r="W14" s="230">
        <v>-16.896195395932001</v>
      </c>
      <c r="X14" s="21"/>
      <c r="Y14" s="52" t="e">
        <f t="shared" si="1"/>
        <v>#REF!</v>
      </c>
      <c r="Z14" s="52" t="e">
        <f t="shared" si="9"/>
        <v>#REF!</v>
      </c>
      <c r="AA14" s="52" t="e">
        <f t="shared" si="2"/>
        <v>#REF!</v>
      </c>
      <c r="AB14" s="52" t="e">
        <f t="shared" si="2"/>
        <v>#REF!</v>
      </c>
      <c r="AC14" s="21"/>
      <c r="AD14" s="52" t="e">
        <f t="shared" si="3"/>
        <v>#REF!</v>
      </c>
      <c r="AE14" s="52" t="e">
        <f t="shared" si="4"/>
        <v>#REF!</v>
      </c>
      <c r="AF14" s="52" t="e">
        <f t="shared" si="4"/>
        <v>#REF!</v>
      </c>
      <c r="AG14" s="52" t="e">
        <f t="shared" si="4"/>
        <v>#REF!</v>
      </c>
      <c r="AH14" s="21"/>
      <c r="AI14" s="52">
        <f t="shared" si="5"/>
        <v>-4.6490479999999996</v>
      </c>
      <c r="AJ14" s="52">
        <f t="shared" si="6"/>
        <v>-8.7328274600000029</v>
      </c>
      <c r="AK14" s="52">
        <f t="shared" si="6"/>
        <v>-18.381232099999998</v>
      </c>
      <c r="AL14" s="52">
        <f t="shared" si="6"/>
        <v>-15.811917129999998</v>
      </c>
      <c r="AM14" s="21"/>
      <c r="AN14" s="52">
        <f t="shared" si="7"/>
        <v>-8.1602149458100008</v>
      </c>
      <c r="AO14" s="52">
        <f t="shared" si="8"/>
        <v>-0.8014200993899987</v>
      </c>
      <c r="AP14" s="52">
        <f t="shared" si="8"/>
        <v>-3.6222266948000001</v>
      </c>
      <c r="AQ14" s="52">
        <f t="shared" si="8"/>
        <v>-4.3123336559320009</v>
      </c>
      <c r="AR14" s="21"/>
    </row>
    <row r="15" spans="2:44" s="14" customFormat="1">
      <c r="B15" s="50" t="s">
        <v>488</v>
      </c>
      <c r="C15" s="51" t="e">
        <f>+#REF!/1000</f>
        <v>#REF!</v>
      </c>
      <c r="D15" s="21"/>
      <c r="E15" s="230" t="e">
        <f>0+#REF!</f>
        <v>#REF!</v>
      </c>
      <c r="F15" s="230">
        <v>0</v>
      </c>
      <c r="G15" s="230" t="e">
        <f>0++#REF!</f>
        <v>#REF!</v>
      </c>
      <c r="H15" s="230" t="e">
        <f>IF(AND($F$7=VALUE($C$4),H$8=$C$8),$C15,0)+#REF!</f>
        <v>#REF!</v>
      </c>
      <c r="I15" s="21"/>
      <c r="J15" s="230" t="e">
        <f>0+#REF!</f>
        <v>#REF!</v>
      </c>
      <c r="K15" s="230" t="e">
        <f>0+#REF!</f>
        <v>#REF!</v>
      </c>
      <c r="L15" s="230" t="e">
        <f>0+#REF!</f>
        <v>#REF!</v>
      </c>
      <c r="M15" s="230" t="e">
        <f>0+#REF!</f>
        <v>#REF!</v>
      </c>
      <c r="N15" s="21"/>
      <c r="O15" s="230">
        <v>0</v>
      </c>
      <c r="P15" s="230">
        <v>0</v>
      </c>
      <c r="Q15" s="230">
        <v>0</v>
      </c>
      <c r="R15" s="230">
        <v>0</v>
      </c>
      <c r="S15" s="21"/>
      <c r="T15" s="230">
        <v>0</v>
      </c>
      <c r="U15" s="230">
        <v>0</v>
      </c>
      <c r="V15" s="230">
        <v>0</v>
      </c>
      <c r="W15" s="230">
        <v>0</v>
      </c>
      <c r="X15" s="21"/>
      <c r="Y15" s="52" t="e">
        <f t="shared" si="1"/>
        <v>#REF!</v>
      </c>
      <c r="Z15" s="52" t="e">
        <f t="shared" si="9"/>
        <v>#REF!</v>
      </c>
      <c r="AA15" s="52" t="e">
        <f t="shared" si="2"/>
        <v>#REF!</v>
      </c>
      <c r="AB15" s="52" t="e">
        <f t="shared" si="2"/>
        <v>#REF!</v>
      </c>
      <c r="AC15" s="21"/>
      <c r="AD15" s="52" t="e">
        <f t="shared" si="3"/>
        <v>#REF!</v>
      </c>
      <c r="AE15" s="52" t="e">
        <f t="shared" si="4"/>
        <v>#REF!</v>
      </c>
      <c r="AF15" s="52" t="e">
        <f t="shared" si="4"/>
        <v>#REF!</v>
      </c>
      <c r="AG15" s="52" t="e">
        <f t="shared" si="4"/>
        <v>#REF!</v>
      </c>
      <c r="AH15" s="21"/>
      <c r="AI15" s="52">
        <f t="shared" si="5"/>
        <v>0</v>
      </c>
      <c r="AJ15" s="52">
        <f t="shared" si="6"/>
        <v>0</v>
      </c>
      <c r="AK15" s="52">
        <f t="shared" si="6"/>
        <v>0</v>
      </c>
      <c r="AL15" s="52">
        <f t="shared" si="6"/>
        <v>0</v>
      </c>
      <c r="AM15" s="21"/>
      <c r="AN15" s="52">
        <f t="shared" si="7"/>
        <v>0</v>
      </c>
      <c r="AO15" s="52">
        <f t="shared" si="8"/>
        <v>0</v>
      </c>
      <c r="AP15" s="52">
        <f t="shared" si="8"/>
        <v>0</v>
      </c>
      <c r="AQ15" s="52">
        <f t="shared" si="8"/>
        <v>0</v>
      </c>
      <c r="AR15" s="21"/>
    </row>
    <row r="16" spans="2:44" s="14" customFormat="1">
      <c r="B16" s="50" t="s">
        <v>558</v>
      </c>
      <c r="C16" s="51" t="e">
        <f>+#REF!/1000</f>
        <v>#REF!</v>
      </c>
      <c r="D16" s="21"/>
      <c r="E16" s="230" t="e">
        <f>0+#REF!</f>
        <v>#REF!</v>
      </c>
      <c r="F16" s="230">
        <v>0</v>
      </c>
      <c r="G16" s="230" t="e">
        <f>-0.040665+#REF!</f>
        <v>#REF!</v>
      </c>
      <c r="H16" s="230" t="e">
        <f>IF(AND($F$7=VALUE($C$4),H$8=$C$8),$C16,0)+#REF!</f>
        <v>#REF!</v>
      </c>
      <c r="I16" s="21"/>
      <c r="J16" s="230" t="e">
        <f>0+#REF!</f>
        <v>#REF!</v>
      </c>
      <c r="K16" s="230" t="e">
        <f>0+#REF!</f>
        <v>#REF!</v>
      </c>
      <c r="L16" s="230" t="e">
        <f>-0.052548+#REF!</f>
        <v>#REF!</v>
      </c>
      <c r="M16" s="230" t="e">
        <f>0.06871975+#REF!</f>
        <v>#REF!</v>
      </c>
      <c r="N16" s="21"/>
      <c r="O16" s="230">
        <v>0</v>
      </c>
      <c r="P16" s="230">
        <v>1.4231698275210001</v>
      </c>
      <c r="Q16" s="230">
        <v>1.4366856858900001</v>
      </c>
      <c r="R16" s="230">
        <v>1.2500061342569999</v>
      </c>
      <c r="S16" s="21"/>
      <c r="T16" s="230">
        <v>0</v>
      </c>
      <c r="U16" s="230">
        <v>0</v>
      </c>
      <c r="V16" s="230">
        <v>0</v>
      </c>
      <c r="W16" s="230">
        <v>-3.4911900000000003E-2</v>
      </c>
      <c r="X16" s="21"/>
      <c r="Y16" s="52" t="e">
        <f t="shared" si="1"/>
        <v>#REF!</v>
      </c>
      <c r="Z16" s="52" t="e">
        <f t="shared" si="9"/>
        <v>#REF!</v>
      </c>
      <c r="AA16" s="52" t="e">
        <f t="shared" si="2"/>
        <v>#REF!</v>
      </c>
      <c r="AB16" s="52" t="e">
        <f t="shared" si="2"/>
        <v>#REF!</v>
      </c>
      <c r="AC16" s="21"/>
      <c r="AD16" s="52" t="e">
        <f t="shared" si="3"/>
        <v>#REF!</v>
      </c>
      <c r="AE16" s="52" t="e">
        <f t="shared" si="4"/>
        <v>#REF!</v>
      </c>
      <c r="AF16" s="52" t="e">
        <f t="shared" si="4"/>
        <v>#REF!</v>
      </c>
      <c r="AG16" s="52" t="e">
        <f t="shared" si="4"/>
        <v>#REF!</v>
      </c>
      <c r="AH16" s="21"/>
      <c r="AI16" s="52">
        <f t="shared" si="5"/>
        <v>0</v>
      </c>
      <c r="AJ16" s="52">
        <f t="shared" si="6"/>
        <v>1.4231698275210001</v>
      </c>
      <c r="AK16" s="52">
        <f t="shared" si="6"/>
        <v>1.3515858369000044E-2</v>
      </c>
      <c r="AL16" s="52">
        <f t="shared" si="6"/>
        <v>-0.18667955163300021</v>
      </c>
      <c r="AM16" s="21"/>
      <c r="AN16" s="52">
        <f t="shared" si="7"/>
        <v>0</v>
      </c>
      <c r="AO16" s="52">
        <f t="shared" si="8"/>
        <v>0</v>
      </c>
      <c r="AP16" s="52">
        <f t="shared" si="8"/>
        <v>0</v>
      </c>
      <c r="AQ16" s="52">
        <f t="shared" si="8"/>
        <v>-3.4911900000000003E-2</v>
      </c>
      <c r="AR16" s="21"/>
    </row>
    <row r="17" spans="2:44" s="14" customFormat="1">
      <c r="B17" s="39" t="s">
        <v>489</v>
      </c>
      <c r="C17" s="40" t="e">
        <f>+#REF!/1000</f>
        <v>#REF!</v>
      </c>
      <c r="D17" s="21"/>
      <c r="E17" s="40" t="e">
        <f>+E13+E14+E15+E16</f>
        <v>#REF!</v>
      </c>
      <c r="F17" s="40">
        <v>-122.3485633574</v>
      </c>
      <c r="G17" s="40" t="e">
        <f>+G13+G14+G15+G16</f>
        <v>#REF!</v>
      </c>
      <c r="H17" s="40" t="e">
        <f>+H13+H14+H15+H16</f>
        <v>#REF!</v>
      </c>
      <c r="I17" s="21"/>
      <c r="J17" s="40" t="e">
        <f t="shared" ref="J17:M17" si="11">+J13+J14+J15+J16</f>
        <v>#REF!</v>
      </c>
      <c r="K17" s="40" t="e">
        <f t="shared" si="11"/>
        <v>#REF!</v>
      </c>
      <c r="L17" s="40" t="e">
        <f t="shared" si="11"/>
        <v>#REF!</v>
      </c>
      <c r="M17" s="40" t="e">
        <f t="shared" si="11"/>
        <v>#REF!</v>
      </c>
      <c r="N17" s="21"/>
      <c r="O17" s="40">
        <f t="shared" ref="O17:W17" si="12">+O13+O14+O15+O16</f>
        <v>-4.5694128255999997</v>
      </c>
      <c r="P17" s="40">
        <f t="shared" si="12"/>
        <v>-26.899279664879202</v>
      </c>
      <c r="Q17" s="40">
        <f t="shared" si="12"/>
        <v>-30.044624036367999</v>
      </c>
      <c r="R17" s="40">
        <f t="shared" si="12"/>
        <v>-39.687983317592</v>
      </c>
      <c r="S17" s="21"/>
      <c r="T17" s="40">
        <f t="shared" si="12"/>
        <v>14.556961416789999</v>
      </c>
      <c r="U17" s="40">
        <f t="shared" si="12"/>
        <v>24.173841156200005</v>
      </c>
      <c r="V17" s="40">
        <f t="shared" si="12"/>
        <v>118.41915726905501</v>
      </c>
      <c r="W17" s="40">
        <f t="shared" si="12"/>
        <v>171.634678022879</v>
      </c>
      <c r="X17" s="21"/>
      <c r="Y17" s="41" t="e">
        <f t="shared" si="1"/>
        <v>#REF!</v>
      </c>
      <c r="Z17" s="41" t="e">
        <f t="shared" si="9"/>
        <v>#REF!</v>
      </c>
      <c r="AA17" s="41" t="e">
        <f t="shared" si="2"/>
        <v>#REF!</v>
      </c>
      <c r="AB17" s="41" t="e">
        <f t="shared" si="2"/>
        <v>#REF!</v>
      </c>
      <c r="AC17" s="21"/>
      <c r="AD17" s="41" t="e">
        <f t="shared" si="3"/>
        <v>#REF!</v>
      </c>
      <c r="AE17" s="41" t="e">
        <f t="shared" si="4"/>
        <v>#REF!</v>
      </c>
      <c r="AF17" s="41" t="e">
        <f t="shared" si="4"/>
        <v>#REF!</v>
      </c>
      <c r="AG17" s="41" t="e">
        <f t="shared" si="4"/>
        <v>#REF!</v>
      </c>
      <c r="AH17" s="21"/>
      <c r="AI17" s="41">
        <f t="shared" si="5"/>
        <v>-4.5694128255999997</v>
      </c>
      <c r="AJ17" s="41">
        <f t="shared" si="6"/>
        <v>-22.329866839279202</v>
      </c>
      <c r="AK17" s="41">
        <f t="shared" si="6"/>
        <v>-3.1453443714887968</v>
      </c>
      <c r="AL17" s="41">
        <f t="shared" si="6"/>
        <v>-9.6433592812240008</v>
      </c>
      <c r="AM17" s="21"/>
      <c r="AN17" s="41">
        <f t="shared" si="7"/>
        <v>14.556961416789999</v>
      </c>
      <c r="AO17" s="41">
        <f t="shared" si="8"/>
        <v>9.6168797394100061</v>
      </c>
      <c r="AP17" s="41">
        <f t="shared" si="8"/>
        <v>94.245316112854994</v>
      </c>
      <c r="AQ17" s="41">
        <f t="shared" si="8"/>
        <v>53.215520753823995</v>
      </c>
      <c r="AR17" s="21"/>
    </row>
    <row r="18" spans="2:44" s="14" customFormat="1" ht="15.75">
      <c r="B18" s="42" t="s">
        <v>535</v>
      </c>
      <c r="C18" s="43" t="e">
        <f>+C12+C17</f>
        <v>#REF!</v>
      </c>
      <c r="D18" s="23"/>
      <c r="E18" s="43" t="e">
        <f>+E12+E17</f>
        <v>#REF!</v>
      </c>
      <c r="F18" s="43">
        <v>-455.89641309952509</v>
      </c>
      <c r="G18" s="43" t="e">
        <f>+G12+G17</f>
        <v>#REF!</v>
      </c>
      <c r="H18" s="43" t="e">
        <f>+H12+H17</f>
        <v>#REF!</v>
      </c>
      <c r="I18" s="23"/>
      <c r="J18" s="43" t="e">
        <f>+J12+J17</f>
        <v>#REF!</v>
      </c>
      <c r="K18" s="43" t="e">
        <f>+K12+K17</f>
        <v>#REF!</v>
      </c>
      <c r="L18" s="43" t="e">
        <f>+L12+L17</f>
        <v>#REF!</v>
      </c>
      <c r="M18" s="43" t="e">
        <f>+M12+M17</f>
        <v>#REF!</v>
      </c>
      <c r="N18" s="23"/>
      <c r="O18" s="43">
        <f t="shared" ref="O18:W18" si="13">+O12+O17</f>
        <v>-233.407401544962</v>
      </c>
      <c r="P18" s="43">
        <f t="shared" si="13"/>
        <v>-384.6704105538152</v>
      </c>
      <c r="Q18" s="43">
        <f t="shared" si="13"/>
        <v>-477.17910183121001</v>
      </c>
      <c r="R18" s="43">
        <f t="shared" si="13"/>
        <v>-715.21427418887811</v>
      </c>
      <c r="S18" s="23"/>
      <c r="T18" s="43">
        <f t="shared" si="13"/>
        <v>-169.70992289399101</v>
      </c>
      <c r="U18" s="43">
        <f t="shared" si="13"/>
        <v>-409.03788425599095</v>
      </c>
      <c r="V18" s="43">
        <f t="shared" si="13"/>
        <v>-393.52921085308799</v>
      </c>
      <c r="W18" s="43">
        <f t="shared" si="13"/>
        <v>-461.09061215712086</v>
      </c>
      <c r="X18" s="23"/>
      <c r="Y18" s="44" t="e">
        <f t="shared" si="1"/>
        <v>#REF!</v>
      </c>
      <c r="Z18" s="44" t="e">
        <f t="shared" si="9"/>
        <v>#REF!</v>
      </c>
      <c r="AA18" s="44" t="e">
        <f t="shared" si="2"/>
        <v>#REF!</v>
      </c>
      <c r="AB18" s="44" t="e">
        <f t="shared" si="2"/>
        <v>#REF!</v>
      </c>
      <c r="AC18" s="23"/>
      <c r="AD18" s="44" t="e">
        <f t="shared" si="3"/>
        <v>#REF!</v>
      </c>
      <c r="AE18" s="44" t="e">
        <f t="shared" si="4"/>
        <v>#REF!</v>
      </c>
      <c r="AF18" s="44" t="e">
        <f t="shared" si="4"/>
        <v>#REF!</v>
      </c>
      <c r="AG18" s="44" t="e">
        <f t="shared" si="4"/>
        <v>#REF!</v>
      </c>
      <c r="AH18" s="23"/>
      <c r="AI18" s="44">
        <f t="shared" si="5"/>
        <v>-233.407401544962</v>
      </c>
      <c r="AJ18" s="44">
        <f t="shared" si="6"/>
        <v>-151.2630090088532</v>
      </c>
      <c r="AK18" s="44">
        <f t="shared" si="6"/>
        <v>-92.508691277394803</v>
      </c>
      <c r="AL18" s="44">
        <f t="shared" si="6"/>
        <v>-238.0351723576681</v>
      </c>
      <c r="AM18" s="23"/>
      <c r="AN18" s="44">
        <f t="shared" si="7"/>
        <v>-169.70992289399101</v>
      </c>
      <c r="AO18" s="44">
        <f t="shared" si="8"/>
        <v>-239.32796136199994</v>
      </c>
      <c r="AP18" s="44">
        <f t="shared" si="8"/>
        <v>15.508673402902957</v>
      </c>
      <c r="AQ18" s="44">
        <f t="shared" si="8"/>
        <v>-67.56140130403287</v>
      </c>
      <c r="AR18" s="23"/>
    </row>
    <row r="19" spans="2:44" s="14" customFormat="1">
      <c r="B19" s="53" t="s">
        <v>602</v>
      </c>
      <c r="C19" s="46" t="e">
        <f>+#REF!/1000</f>
        <v>#REF!</v>
      </c>
      <c r="D19" s="21"/>
      <c r="E19" s="231" t="e">
        <f>-117.028241572925+#REF!</f>
        <v>#REF!</v>
      </c>
      <c r="F19" s="231">
        <v>-235.84212973635701</v>
      </c>
      <c r="G19" s="231" t="e">
        <f>-355.089356458972+#REF!</f>
        <v>#REF!</v>
      </c>
      <c r="H19" s="231" t="e">
        <f>IF(AND($F$7=VALUE($C$4),H$8=$C$8),$C19,0)+#REF!</f>
        <v>#REF!</v>
      </c>
      <c r="I19" s="21"/>
      <c r="J19" s="231" t="e">
        <f>-114.90414616955+#REF!</f>
        <v>#REF!</v>
      </c>
      <c r="K19" s="231" t="e">
        <f>-237.252693448783+#REF!</f>
        <v>#REF!</v>
      </c>
      <c r="L19" s="231" t="e">
        <f>-353.195240012878+#REF!</f>
        <v>#REF!</v>
      </c>
      <c r="M19" s="231" t="e">
        <f>-490.543237947472+#REF!</f>
        <v>#REF!</v>
      </c>
      <c r="N19" s="21"/>
      <c r="O19" s="231">
        <v>-115.821087722201</v>
      </c>
      <c r="P19" s="231">
        <v>-230.45678886213298</v>
      </c>
      <c r="Q19" s="231">
        <v>-342.42951341767696</v>
      </c>
      <c r="R19" s="231">
        <v>-475.31586105054805</v>
      </c>
      <c r="S19" s="21"/>
      <c r="T19" s="231">
        <v>-111.47730799548199</v>
      </c>
      <c r="U19" s="231">
        <v>-223.243577480868</v>
      </c>
      <c r="V19" s="231">
        <v>-341.625617048832</v>
      </c>
      <c r="W19" s="231">
        <v>-467.27128854703807</v>
      </c>
      <c r="X19" s="21"/>
      <c r="Y19" s="47" t="e">
        <f t="shared" si="1"/>
        <v>#REF!</v>
      </c>
      <c r="Z19" s="47" t="e">
        <f t="shared" si="9"/>
        <v>#REF!</v>
      </c>
      <c r="AA19" s="47" t="e">
        <f t="shared" si="2"/>
        <v>#REF!</v>
      </c>
      <c r="AB19" s="47" t="e">
        <f t="shared" si="2"/>
        <v>#REF!</v>
      </c>
      <c r="AC19" s="21"/>
      <c r="AD19" s="47" t="e">
        <f t="shared" si="3"/>
        <v>#REF!</v>
      </c>
      <c r="AE19" s="47" t="e">
        <f t="shared" si="4"/>
        <v>#REF!</v>
      </c>
      <c r="AF19" s="47" t="e">
        <f t="shared" si="4"/>
        <v>#REF!</v>
      </c>
      <c r="AG19" s="47" t="e">
        <f t="shared" si="4"/>
        <v>#REF!</v>
      </c>
      <c r="AH19" s="21"/>
      <c r="AI19" s="47">
        <f t="shared" si="5"/>
        <v>-115.821087722201</v>
      </c>
      <c r="AJ19" s="47">
        <f t="shared" si="6"/>
        <v>-114.63570113993198</v>
      </c>
      <c r="AK19" s="47">
        <f t="shared" si="6"/>
        <v>-111.97272455554398</v>
      </c>
      <c r="AL19" s="47">
        <f t="shared" si="6"/>
        <v>-132.88634763287109</v>
      </c>
      <c r="AM19" s="21"/>
      <c r="AN19" s="47">
        <f t="shared" si="7"/>
        <v>-111.47730799548199</v>
      </c>
      <c r="AO19" s="47">
        <f t="shared" si="8"/>
        <v>-111.766269485386</v>
      </c>
      <c r="AP19" s="47">
        <f t="shared" si="8"/>
        <v>-118.382039567964</v>
      </c>
      <c r="AQ19" s="47">
        <f t="shared" si="8"/>
        <v>-125.64567149820607</v>
      </c>
      <c r="AR19" s="21"/>
    </row>
    <row r="20" spans="2:44" s="14" customFormat="1">
      <c r="B20" s="154" t="s">
        <v>43</v>
      </c>
      <c r="C20" s="40" t="e">
        <f>+#REF!/1000</f>
        <v>#REF!</v>
      </c>
      <c r="D20" s="21"/>
      <c r="E20" s="232" t="e">
        <f>0.0283657289249999+#REF!</f>
        <v>#REF!</v>
      </c>
      <c r="F20" s="232">
        <v>-2.9371680001495398E-6</v>
      </c>
      <c r="G20" s="232" t="e">
        <f>-16.70372832244+#REF!</f>
        <v>#REF!</v>
      </c>
      <c r="H20" s="232" t="e">
        <f>IF(AND($F$7=VALUE($C$4),H$8=$C$8),$C20,0)+#REF!</f>
        <v>#REF!</v>
      </c>
      <c r="I20" s="21"/>
      <c r="J20" s="232" t="e">
        <f>-2.151301108646+#REF!</f>
        <v>#REF!</v>
      </c>
      <c r="K20" s="232" t="e">
        <f>-2.31508373016+#REF!</f>
        <v>#REF!</v>
      </c>
      <c r="L20" s="232" t="e">
        <f>-124.75456928+#REF!</f>
        <v>#REF!</v>
      </c>
      <c r="M20" s="232" t="e">
        <f>-151.142658501074+#REF!</f>
        <v>#REF!</v>
      </c>
      <c r="N20" s="21"/>
      <c r="O20" s="232">
        <v>-2.3240000000005198E-6</v>
      </c>
      <c r="P20" s="232">
        <v>5.0999999999999995E-6</v>
      </c>
      <c r="Q20" s="232">
        <v>-0.6418626745749999</v>
      </c>
      <c r="R20" s="232">
        <v>-0.64067761863000006</v>
      </c>
      <c r="S20" s="21"/>
      <c r="T20" s="232">
        <v>-1.71826458990001E-2</v>
      </c>
      <c r="U20" s="232">
        <v>1.9999999999999999E-6</v>
      </c>
      <c r="V20" s="232">
        <v>-5.9189520999999994</v>
      </c>
      <c r="W20" s="232">
        <v>-87.227949031223005</v>
      </c>
      <c r="X20" s="21"/>
      <c r="Y20" s="41" t="e">
        <f t="shared" si="1"/>
        <v>#REF!</v>
      </c>
      <c r="Z20" s="41" t="e">
        <f t="shared" si="9"/>
        <v>#REF!</v>
      </c>
      <c r="AA20" s="41" t="e">
        <f t="shared" si="2"/>
        <v>#REF!</v>
      </c>
      <c r="AB20" s="41" t="e">
        <f t="shared" si="2"/>
        <v>#REF!</v>
      </c>
      <c r="AC20" s="21"/>
      <c r="AD20" s="41" t="e">
        <f t="shared" si="3"/>
        <v>#REF!</v>
      </c>
      <c r="AE20" s="41" t="e">
        <f t="shared" si="4"/>
        <v>#REF!</v>
      </c>
      <c r="AF20" s="41" t="e">
        <f t="shared" si="4"/>
        <v>#REF!</v>
      </c>
      <c r="AG20" s="41" t="e">
        <f t="shared" si="4"/>
        <v>#REF!</v>
      </c>
      <c r="AH20" s="21"/>
      <c r="AI20" s="41">
        <f t="shared" si="5"/>
        <v>-2.3240000000005198E-6</v>
      </c>
      <c r="AJ20" s="41">
        <f t="shared" si="6"/>
        <v>7.4240000000005188E-6</v>
      </c>
      <c r="AK20" s="41">
        <f t="shared" si="6"/>
        <v>-0.64186777457499988</v>
      </c>
      <c r="AL20" s="41">
        <f t="shared" si="6"/>
        <v>1.1850559449998466E-3</v>
      </c>
      <c r="AM20" s="21"/>
      <c r="AN20" s="41">
        <f t="shared" si="7"/>
        <v>-1.71826458990001E-2</v>
      </c>
      <c r="AO20" s="41">
        <f t="shared" si="8"/>
        <v>1.7184645899000098E-2</v>
      </c>
      <c r="AP20" s="41">
        <f t="shared" si="8"/>
        <v>-5.9189540999999997</v>
      </c>
      <c r="AQ20" s="41">
        <f t="shared" si="8"/>
        <v>-81.308996931223007</v>
      </c>
      <c r="AR20" s="21"/>
    </row>
    <row r="21" spans="2:44" s="14" customFormat="1" ht="15.75">
      <c r="B21" s="42" t="s">
        <v>534</v>
      </c>
      <c r="C21" s="43" t="e">
        <f>+C18+C19+C20</f>
        <v>#REF!</v>
      </c>
      <c r="D21" s="23"/>
      <c r="E21" s="43" t="e">
        <f>+E18+E19+E20</f>
        <v>#REF!</v>
      </c>
      <c r="F21" s="43">
        <v>-691.73854577305008</v>
      </c>
      <c r="G21" s="43" t="e">
        <f>+G18+G19+G20</f>
        <v>#REF!</v>
      </c>
      <c r="H21" s="43" t="e">
        <f>+H18+H19+H20</f>
        <v>#REF!</v>
      </c>
      <c r="I21" s="23"/>
      <c r="J21" s="43" t="e">
        <f>+J18+J19+J20</f>
        <v>#REF!</v>
      </c>
      <c r="K21" s="43" t="e">
        <f>+K18+K19+K20</f>
        <v>#REF!</v>
      </c>
      <c r="L21" s="43" t="e">
        <f>+L18+L19+L20</f>
        <v>#REF!</v>
      </c>
      <c r="M21" s="43" t="e">
        <f>+M18+M19+M20</f>
        <v>#REF!</v>
      </c>
      <c r="N21" s="23"/>
      <c r="O21" s="43">
        <f t="shared" ref="O21:W21" si="14">+O18+O19+O20</f>
        <v>-349.22849159116299</v>
      </c>
      <c r="P21" s="43">
        <f t="shared" si="14"/>
        <v>-615.12719431594826</v>
      </c>
      <c r="Q21" s="43">
        <f t="shared" si="14"/>
        <v>-820.25047792346197</v>
      </c>
      <c r="R21" s="43">
        <f t="shared" si="14"/>
        <v>-1191.1708128580563</v>
      </c>
      <c r="S21" s="23"/>
      <c r="T21" s="43">
        <f t="shared" si="14"/>
        <v>-281.204413535372</v>
      </c>
      <c r="U21" s="43">
        <f t="shared" si="14"/>
        <v>-632.28145973685901</v>
      </c>
      <c r="V21" s="43">
        <f t="shared" si="14"/>
        <v>-741.07378000192</v>
      </c>
      <c r="W21" s="43">
        <f t="shared" si="14"/>
        <v>-1015.5898497353819</v>
      </c>
      <c r="X21" s="23"/>
      <c r="Y21" s="44" t="e">
        <f t="shared" si="1"/>
        <v>#REF!</v>
      </c>
      <c r="Z21" s="44" t="e">
        <f t="shared" si="9"/>
        <v>#REF!</v>
      </c>
      <c r="AA21" s="44" t="e">
        <f t="shared" si="2"/>
        <v>#REF!</v>
      </c>
      <c r="AB21" s="44" t="e">
        <f t="shared" si="2"/>
        <v>#REF!</v>
      </c>
      <c r="AC21" s="23"/>
      <c r="AD21" s="44" t="e">
        <f t="shared" si="3"/>
        <v>#REF!</v>
      </c>
      <c r="AE21" s="44" t="e">
        <f t="shared" si="4"/>
        <v>#REF!</v>
      </c>
      <c r="AF21" s="44" t="e">
        <f t="shared" si="4"/>
        <v>#REF!</v>
      </c>
      <c r="AG21" s="44" t="e">
        <f t="shared" si="4"/>
        <v>#REF!</v>
      </c>
      <c r="AH21" s="23"/>
      <c r="AI21" s="44">
        <f t="shared" si="5"/>
        <v>-349.22849159116299</v>
      </c>
      <c r="AJ21" s="44">
        <f t="shared" si="6"/>
        <v>-265.89870272478527</v>
      </c>
      <c r="AK21" s="44">
        <f t="shared" si="6"/>
        <v>-205.12328360751371</v>
      </c>
      <c r="AL21" s="44">
        <f t="shared" si="6"/>
        <v>-370.92033493459428</v>
      </c>
      <c r="AM21" s="23"/>
      <c r="AN21" s="44">
        <f t="shared" si="7"/>
        <v>-281.204413535372</v>
      </c>
      <c r="AO21" s="44">
        <f t="shared" si="8"/>
        <v>-351.07704620148701</v>
      </c>
      <c r="AP21" s="44">
        <f t="shared" si="8"/>
        <v>-108.79232026506099</v>
      </c>
      <c r="AQ21" s="44">
        <f t="shared" si="8"/>
        <v>-274.5160697334619</v>
      </c>
      <c r="AR21" s="23"/>
    </row>
    <row r="22" spans="2:44" s="14" customFormat="1">
      <c r="B22" s="45" t="s">
        <v>490</v>
      </c>
      <c r="C22" s="46" t="e">
        <f>#REF!/1000</f>
        <v>#REF!</v>
      </c>
      <c r="D22" s="21"/>
      <c r="E22" s="231" t="e">
        <f>-154.140319326051+#REF!</f>
        <v>#REF!</v>
      </c>
      <c r="F22" s="231">
        <v>-391.998014667429</v>
      </c>
      <c r="G22" s="231" t="e">
        <f>-627.385276609986+#REF!</f>
        <v>#REF!</v>
      </c>
      <c r="H22" s="231" t="e">
        <f>IF(AND($F$7=VALUE($C$4),H$8=$C$8),$C22,0)+#REF!</f>
        <v>#REF!</v>
      </c>
      <c r="I22" s="21"/>
      <c r="J22" s="231" t="e">
        <f>-3.4325861147459+#REF!</f>
        <v>#REF!</v>
      </c>
      <c r="K22" s="231" t="e">
        <f>19.5189485259324+#REF!</f>
        <v>#REF!</v>
      </c>
      <c r="L22" s="231" t="e">
        <f>15.0483061257472++#REF!</f>
        <v>#REF!</v>
      </c>
      <c r="M22" s="231" t="e">
        <f>-16.7185610623622+#REF!</f>
        <v>#REF!</v>
      </c>
      <c r="N22" s="21"/>
      <c r="O22" s="231">
        <v>-22.402508752290601</v>
      </c>
      <c r="P22" s="231">
        <v>-28.1400366975022</v>
      </c>
      <c r="Q22" s="231">
        <v>-31.412106065680703</v>
      </c>
      <c r="R22" s="231">
        <v>-64.121958275847589</v>
      </c>
      <c r="S22" s="21"/>
      <c r="T22" s="231">
        <v>-3.3687551919160903</v>
      </c>
      <c r="U22" s="231">
        <v>83.425381854737893</v>
      </c>
      <c r="V22" s="231">
        <v>91.51128371326601</v>
      </c>
      <c r="W22" s="231">
        <v>80.396445009924506</v>
      </c>
      <c r="X22" s="21"/>
      <c r="Y22" s="47" t="e">
        <f t="shared" si="1"/>
        <v>#REF!</v>
      </c>
      <c r="Z22" s="47" t="e">
        <f t="shared" si="9"/>
        <v>#REF!</v>
      </c>
      <c r="AA22" s="47" t="e">
        <f t="shared" si="2"/>
        <v>#REF!</v>
      </c>
      <c r="AB22" s="47" t="e">
        <f t="shared" si="2"/>
        <v>#REF!</v>
      </c>
      <c r="AC22" s="21"/>
      <c r="AD22" s="47" t="e">
        <f t="shared" si="3"/>
        <v>#REF!</v>
      </c>
      <c r="AE22" s="47" t="e">
        <f t="shared" si="4"/>
        <v>#REF!</v>
      </c>
      <c r="AF22" s="47" t="e">
        <f t="shared" si="4"/>
        <v>#REF!</v>
      </c>
      <c r="AG22" s="47" t="e">
        <f t="shared" si="4"/>
        <v>#REF!</v>
      </c>
      <c r="AH22" s="21"/>
      <c r="AI22" s="47">
        <f t="shared" si="5"/>
        <v>-22.402508752290601</v>
      </c>
      <c r="AJ22" s="47">
        <f t="shared" si="6"/>
        <v>-5.7375279452115997</v>
      </c>
      <c r="AK22" s="47">
        <f t="shared" si="6"/>
        <v>-3.2720693681785029</v>
      </c>
      <c r="AL22" s="47">
        <f t="shared" si="6"/>
        <v>-32.709852210166886</v>
      </c>
      <c r="AM22" s="21"/>
      <c r="AN22" s="47">
        <f t="shared" si="7"/>
        <v>-3.3687551919160903</v>
      </c>
      <c r="AO22" s="47">
        <f t="shared" si="8"/>
        <v>86.794137046653987</v>
      </c>
      <c r="AP22" s="47">
        <f t="shared" si="8"/>
        <v>8.0859018585281177</v>
      </c>
      <c r="AQ22" s="47">
        <f t="shared" si="8"/>
        <v>-11.114838703341505</v>
      </c>
      <c r="AR22" s="21"/>
    </row>
    <row r="23" spans="2:44" s="14" customFormat="1">
      <c r="B23" s="39" t="s">
        <v>416</v>
      </c>
      <c r="C23" s="40" t="e">
        <f>#REF!/1000</f>
        <v>#REF!</v>
      </c>
      <c r="D23" s="21"/>
      <c r="E23" s="232" t="e">
        <f>-264.722429820452+#REF!</f>
        <v>#REF!</v>
      </c>
      <c r="F23" s="232">
        <v>-410.27017464272603</v>
      </c>
      <c r="G23" s="232" t="e">
        <f>-485.354139767682+#REF!</f>
        <v>#REF!</v>
      </c>
      <c r="H23" s="232" t="e">
        <f>IF(AND($F$7=VALUE($C$4),H$8=$C$8),$C23,0)+#REF!</f>
        <v>#REF!</v>
      </c>
      <c r="I23" s="21"/>
      <c r="J23" s="232" t="e">
        <f>-84.2251265753026+#REF!</f>
        <v>#REF!</v>
      </c>
      <c r="K23" s="232" t="e">
        <f>-15.4362946627727+#REF!</f>
        <v>#REF!</v>
      </c>
      <c r="L23" s="232" t="e">
        <f>-370.720615838876+#REF!</f>
        <v>#REF!</v>
      </c>
      <c r="M23" s="232" t="e">
        <f>-548.949987880434+#REF!</f>
        <v>#REF!</v>
      </c>
      <c r="N23" s="21"/>
      <c r="O23" s="232">
        <v>786.53355253571704</v>
      </c>
      <c r="P23" s="232">
        <v>246.50809309357697</v>
      </c>
      <c r="Q23" s="232">
        <v>68.934069351103204</v>
      </c>
      <c r="R23" s="232">
        <v>-90.130011696093206</v>
      </c>
      <c r="S23" s="21"/>
      <c r="T23" s="232">
        <v>-87.268290314729896</v>
      </c>
      <c r="U23" s="232">
        <v>279.79998606045598</v>
      </c>
      <c r="V23" s="232">
        <v>105.61349676218099</v>
      </c>
      <c r="W23" s="232">
        <v>-100.58200850668</v>
      </c>
      <c r="X23" s="21"/>
      <c r="Y23" s="41" t="e">
        <f t="shared" si="1"/>
        <v>#REF!</v>
      </c>
      <c r="Z23" s="41" t="e">
        <f t="shared" si="9"/>
        <v>#REF!</v>
      </c>
      <c r="AA23" s="41" t="e">
        <f t="shared" si="2"/>
        <v>#REF!</v>
      </c>
      <c r="AB23" s="41" t="e">
        <f t="shared" si="2"/>
        <v>#REF!</v>
      </c>
      <c r="AC23" s="21"/>
      <c r="AD23" s="41" t="e">
        <f t="shared" si="3"/>
        <v>#REF!</v>
      </c>
      <c r="AE23" s="41" t="e">
        <f t="shared" si="4"/>
        <v>#REF!</v>
      </c>
      <c r="AF23" s="41" t="e">
        <f t="shared" si="4"/>
        <v>#REF!</v>
      </c>
      <c r="AG23" s="41" t="e">
        <f t="shared" si="4"/>
        <v>#REF!</v>
      </c>
      <c r="AH23" s="21"/>
      <c r="AI23" s="41">
        <f t="shared" si="5"/>
        <v>786.53355253571704</v>
      </c>
      <c r="AJ23" s="41">
        <f t="shared" si="6"/>
        <v>-540.02545944214012</v>
      </c>
      <c r="AK23" s="41">
        <f t="shared" si="6"/>
        <v>-177.57402374247377</v>
      </c>
      <c r="AL23" s="41">
        <f t="shared" si="6"/>
        <v>-159.0640810471964</v>
      </c>
      <c r="AM23" s="21"/>
      <c r="AN23" s="41">
        <f t="shared" si="7"/>
        <v>-87.268290314729896</v>
      </c>
      <c r="AO23" s="41">
        <f t="shared" si="8"/>
        <v>367.06827637518586</v>
      </c>
      <c r="AP23" s="41">
        <f t="shared" si="8"/>
        <v>-174.18648929827498</v>
      </c>
      <c r="AQ23" s="41">
        <f t="shared" si="8"/>
        <v>-206.19550526886098</v>
      </c>
      <c r="AR23" s="21"/>
    </row>
    <row r="24" spans="2:44" s="14" customFormat="1" ht="15.75">
      <c r="B24" s="42" t="s">
        <v>491</v>
      </c>
      <c r="C24" s="43" t="e">
        <f>SUM(C21:C23)</f>
        <v>#REF!</v>
      </c>
      <c r="D24" s="23"/>
      <c r="E24" s="43" t="e">
        <f>SUM(E21:E23)</f>
        <v>#REF!</v>
      </c>
      <c r="F24" s="43">
        <v>-1494.0067350832051</v>
      </c>
      <c r="G24" s="43" t="e">
        <f>SUM(G21:G23)</f>
        <v>#REF!</v>
      </c>
      <c r="H24" s="43" t="e">
        <f>SUM(H21:H23)</f>
        <v>#REF!</v>
      </c>
      <c r="I24" s="23"/>
      <c r="J24" s="43" t="e">
        <f>SUM(J21:J23)</f>
        <v>#REF!</v>
      </c>
      <c r="K24" s="43" t="e">
        <f>SUM(K21:K23)</f>
        <v>#REF!</v>
      </c>
      <c r="L24" s="43" t="e">
        <f>SUM(L21:L23)</f>
        <v>#REF!</v>
      </c>
      <c r="M24" s="43" t="e">
        <f>SUM(M21:M23)</f>
        <v>#REF!</v>
      </c>
      <c r="N24" s="23"/>
      <c r="O24" s="43">
        <f t="shared" ref="O24:W24" si="15">SUM(O21:O23)</f>
        <v>414.90255219226344</v>
      </c>
      <c r="P24" s="43">
        <f t="shared" si="15"/>
        <v>-396.75913791987347</v>
      </c>
      <c r="Q24" s="43">
        <f t="shared" si="15"/>
        <v>-782.72851463803954</v>
      </c>
      <c r="R24" s="43">
        <f t="shared" si="15"/>
        <v>-1345.422782829997</v>
      </c>
      <c r="S24" s="23"/>
      <c r="T24" s="43">
        <f t="shared" si="15"/>
        <v>-371.84145904201796</v>
      </c>
      <c r="U24" s="43">
        <f t="shared" si="15"/>
        <v>-269.05609182166512</v>
      </c>
      <c r="V24" s="43">
        <f t="shared" si="15"/>
        <v>-543.94899952647302</v>
      </c>
      <c r="W24" s="43">
        <f t="shared" si="15"/>
        <v>-1035.7754132321375</v>
      </c>
      <c r="X24" s="23"/>
      <c r="Y24" s="44" t="e">
        <f t="shared" si="1"/>
        <v>#REF!</v>
      </c>
      <c r="Z24" s="44" t="e">
        <f t="shared" si="9"/>
        <v>#REF!</v>
      </c>
      <c r="AA24" s="44" t="e">
        <f t="shared" si="2"/>
        <v>#REF!</v>
      </c>
      <c r="AB24" s="44" t="e">
        <f t="shared" si="2"/>
        <v>#REF!</v>
      </c>
      <c r="AC24" s="23"/>
      <c r="AD24" s="44" t="e">
        <f t="shared" si="3"/>
        <v>#REF!</v>
      </c>
      <c r="AE24" s="44" t="e">
        <f t="shared" si="4"/>
        <v>#REF!</v>
      </c>
      <c r="AF24" s="44" t="e">
        <f t="shared" si="4"/>
        <v>#REF!</v>
      </c>
      <c r="AG24" s="44" t="e">
        <f t="shared" si="4"/>
        <v>#REF!</v>
      </c>
      <c r="AH24" s="23"/>
      <c r="AI24" s="44">
        <f t="shared" si="5"/>
        <v>414.90255219226344</v>
      </c>
      <c r="AJ24" s="44">
        <f t="shared" si="6"/>
        <v>-811.66169011213697</v>
      </c>
      <c r="AK24" s="44">
        <f t="shared" si="6"/>
        <v>-385.96937671816607</v>
      </c>
      <c r="AL24" s="44">
        <f t="shared" si="6"/>
        <v>-562.69426819195746</v>
      </c>
      <c r="AM24" s="23"/>
      <c r="AN24" s="44">
        <f t="shared" si="7"/>
        <v>-371.84145904201796</v>
      </c>
      <c r="AO24" s="44">
        <f t="shared" si="8"/>
        <v>102.78536722035284</v>
      </c>
      <c r="AP24" s="44">
        <f t="shared" si="8"/>
        <v>-274.8929077048079</v>
      </c>
      <c r="AQ24" s="44">
        <f t="shared" si="8"/>
        <v>-491.82641370566444</v>
      </c>
      <c r="AR24" s="23"/>
    </row>
    <row r="25" spans="2:44">
      <c r="B25" s="25"/>
      <c r="C25" s="26"/>
      <c r="D25" s="21"/>
      <c r="E25" s="247"/>
      <c r="F25" s="247"/>
      <c r="G25" s="247"/>
      <c r="H25" s="247"/>
      <c r="I25" s="21"/>
      <c r="J25" s="247"/>
      <c r="K25" s="247"/>
      <c r="L25" s="247"/>
      <c r="M25" s="247"/>
      <c r="N25" s="21"/>
      <c r="O25" s="247"/>
      <c r="P25" s="247"/>
      <c r="Q25" s="247"/>
      <c r="R25" s="247"/>
      <c r="S25" s="21"/>
      <c r="T25" s="247"/>
      <c r="U25" s="247"/>
      <c r="V25" s="247"/>
      <c r="W25" s="247"/>
      <c r="X25" s="21"/>
      <c r="Y25" s="26"/>
      <c r="Z25" s="20"/>
      <c r="AA25" s="20"/>
      <c r="AB25" s="20"/>
      <c r="AC25" s="21"/>
      <c r="AD25" s="26"/>
      <c r="AE25" s="20"/>
      <c r="AF25" s="20"/>
      <c r="AG25" s="20"/>
      <c r="AH25" s="21"/>
      <c r="AI25" s="26"/>
      <c r="AJ25" s="20"/>
      <c r="AK25" s="20"/>
      <c r="AL25" s="20"/>
      <c r="AM25" s="21"/>
      <c r="AN25" s="26"/>
      <c r="AO25" s="20"/>
      <c r="AP25" s="20"/>
      <c r="AQ25" s="20"/>
      <c r="AR25" s="21"/>
    </row>
    <row r="26" spans="2:44">
      <c r="B26" s="50" t="s">
        <v>64</v>
      </c>
      <c r="C26" s="51" t="e">
        <f>#REF!/1000</f>
        <v>#REF!</v>
      </c>
      <c r="D26" s="21"/>
      <c r="E26" s="230">
        <f>166.4870202</f>
        <v>166.48702019999999</v>
      </c>
      <c r="F26" s="230">
        <v>362.76375439240002</v>
      </c>
      <c r="G26" s="230">
        <f>465.168857232</f>
        <v>465.16885723199999</v>
      </c>
      <c r="H26" s="230" t="e">
        <f>IF(AND($F$7=VALUE($C$4),H$8=$C$8),$C26,0)</f>
        <v>#REF!</v>
      </c>
      <c r="I26" s="21"/>
      <c r="J26" s="230">
        <f>119.1843102</f>
        <v>119.1843102</v>
      </c>
      <c r="K26" s="230">
        <f>291.3070049</f>
        <v>291.30700489999998</v>
      </c>
      <c r="L26" s="230">
        <f>447.0685604</f>
        <v>447.06856040000002</v>
      </c>
      <c r="M26" s="230">
        <f>617.51194482</f>
        <v>617.51194482000005</v>
      </c>
      <c r="N26" s="296"/>
      <c r="O26" s="230">
        <v>85.386094400000005</v>
      </c>
      <c r="P26" s="230">
        <v>277.11784880000005</v>
      </c>
      <c r="Q26" s="230">
        <v>488.71823879999999</v>
      </c>
      <c r="R26" s="230">
        <v>655.04354049999995</v>
      </c>
      <c r="S26" s="296"/>
      <c r="T26" s="230">
        <v>59.535305600000001</v>
      </c>
      <c r="U26" s="230">
        <v>129.291345976</v>
      </c>
      <c r="V26" s="230">
        <v>182.03999230000002</v>
      </c>
      <c r="W26" s="230">
        <v>259.92936702399999</v>
      </c>
      <c r="X26" s="21"/>
      <c r="Y26" s="47">
        <f>+E26</f>
        <v>166.48702019999999</v>
      </c>
      <c r="Z26" s="47">
        <f t="shared" ref="Z26:AB27" si="16">+F26-E26</f>
        <v>196.27673419240003</v>
      </c>
      <c r="AA26" s="47">
        <f t="shared" si="16"/>
        <v>102.40510283959998</v>
      </c>
      <c r="AB26" s="47" t="e">
        <f t="shared" si="16"/>
        <v>#REF!</v>
      </c>
      <c r="AC26" s="21"/>
      <c r="AD26" s="47">
        <f>+J26</f>
        <v>119.1843102</v>
      </c>
      <c r="AE26" s="47">
        <f t="shared" ref="AE26:AG27" si="17">+K26-J26</f>
        <v>172.12269469999998</v>
      </c>
      <c r="AF26" s="47">
        <f t="shared" si="17"/>
        <v>155.76155550000004</v>
      </c>
      <c r="AG26" s="47">
        <f t="shared" si="17"/>
        <v>170.44338442000003</v>
      </c>
      <c r="AH26" s="21"/>
      <c r="AI26" s="52">
        <f>+O26</f>
        <v>85.386094400000005</v>
      </c>
      <c r="AJ26" s="52">
        <f t="shared" ref="AJ26:AL27" si="18">+P26-O26</f>
        <v>191.73175440000006</v>
      </c>
      <c r="AK26" s="52">
        <f t="shared" si="18"/>
        <v>211.60038999999995</v>
      </c>
      <c r="AL26" s="52">
        <f t="shared" si="18"/>
        <v>166.32530169999995</v>
      </c>
      <c r="AM26" s="21"/>
      <c r="AN26" s="52">
        <f>+T26</f>
        <v>59.535305600000001</v>
      </c>
      <c r="AO26" s="52">
        <f t="shared" ref="AO26:AQ27" si="19">+U26-T26</f>
        <v>69.756040376000001</v>
      </c>
      <c r="AP26" s="52">
        <f t="shared" si="19"/>
        <v>52.748646324000021</v>
      </c>
      <c r="AQ26" s="52">
        <f t="shared" si="19"/>
        <v>77.889374723999964</v>
      </c>
      <c r="AR26" s="21"/>
    </row>
    <row r="27" spans="2:44">
      <c r="B27" s="50" t="s">
        <v>0</v>
      </c>
      <c r="C27" s="51" t="e">
        <f>#REF!/1000</f>
        <v>#REF!</v>
      </c>
      <c r="D27" s="21"/>
      <c r="E27" s="230" t="e">
        <f>171.291+#REF!</f>
        <v>#REF!</v>
      </c>
      <c r="F27" s="230">
        <v>328.95</v>
      </c>
      <c r="G27" s="230" t="e">
        <f>452.378+#REF!</f>
        <v>#REF!</v>
      </c>
      <c r="H27" s="230" t="e">
        <f>IF(AND($F$7=VALUE($C$4),H$8=$C$8),$C27,0)+#REF!</f>
        <v>#REF!</v>
      </c>
      <c r="I27" s="21"/>
      <c r="J27" s="230" t="e">
        <f>24.087+#REF!</f>
        <v>#REF!</v>
      </c>
      <c r="K27" s="230" t="e">
        <f>32.307++#REF!</f>
        <v>#REF!</v>
      </c>
      <c r="L27" s="230" t="e">
        <f>5251.719+#REF!</f>
        <v>#REF!</v>
      </c>
      <c r="M27" s="230" t="e">
        <f>6676.402694731++#REF!</f>
        <v>#REF!</v>
      </c>
      <c r="N27" s="21"/>
      <c r="O27" s="230">
        <v>2178.0649003000003</v>
      </c>
      <c r="P27" s="230">
        <v>6330.76224</v>
      </c>
      <c r="Q27" s="230">
        <v>6988.7888578000002</v>
      </c>
      <c r="R27" s="230">
        <v>6996.6040000000003</v>
      </c>
      <c r="S27" s="21"/>
      <c r="T27" s="230">
        <v>4</v>
      </c>
      <c r="U27" s="230">
        <v>6.64</v>
      </c>
      <c r="V27" s="230">
        <v>94.206999999999994</v>
      </c>
      <c r="W27" s="230">
        <v>335.99726500000003</v>
      </c>
      <c r="X27" s="21"/>
      <c r="Y27" s="41" t="e">
        <f>+E27</f>
        <v>#REF!</v>
      </c>
      <c r="Z27" s="41" t="e">
        <f t="shared" si="16"/>
        <v>#REF!</v>
      </c>
      <c r="AA27" s="41" t="e">
        <f t="shared" si="16"/>
        <v>#REF!</v>
      </c>
      <c r="AB27" s="41" t="e">
        <f t="shared" si="16"/>
        <v>#REF!</v>
      </c>
      <c r="AC27" s="21"/>
      <c r="AD27" s="41" t="e">
        <f>+J27</f>
        <v>#REF!</v>
      </c>
      <c r="AE27" s="41" t="e">
        <f t="shared" si="17"/>
        <v>#REF!</v>
      </c>
      <c r="AF27" s="41" t="e">
        <f t="shared" si="17"/>
        <v>#REF!</v>
      </c>
      <c r="AG27" s="41" t="e">
        <f t="shared" si="17"/>
        <v>#REF!</v>
      </c>
      <c r="AH27" s="21"/>
      <c r="AI27" s="52">
        <f>+O27</f>
        <v>2178.0649003000003</v>
      </c>
      <c r="AJ27" s="52">
        <f t="shared" si="18"/>
        <v>4152.6973397000002</v>
      </c>
      <c r="AK27" s="52">
        <f t="shared" si="18"/>
        <v>658.02661780000017</v>
      </c>
      <c r="AL27" s="52">
        <f t="shared" si="18"/>
        <v>7.8151422000000821</v>
      </c>
      <c r="AM27" s="21"/>
      <c r="AN27" s="52">
        <f>+T27</f>
        <v>4</v>
      </c>
      <c r="AO27" s="52">
        <f t="shared" si="19"/>
        <v>2.6399999999999997</v>
      </c>
      <c r="AP27" s="52">
        <f t="shared" si="19"/>
        <v>87.566999999999993</v>
      </c>
      <c r="AQ27" s="52">
        <f t="shared" si="19"/>
        <v>241.79026500000003</v>
      </c>
      <c r="AR27" s="21"/>
    </row>
    <row r="28" spans="2:44">
      <c r="B28" s="25"/>
      <c r="C28" s="25"/>
      <c r="D28" s="21"/>
      <c r="E28" s="24"/>
      <c r="F28" s="24"/>
      <c r="G28" s="24"/>
      <c r="H28" s="24"/>
      <c r="I28" s="21"/>
      <c r="J28" s="24"/>
      <c r="K28" s="24"/>
      <c r="L28" s="24"/>
      <c r="M28" s="24"/>
      <c r="N28" s="21"/>
      <c r="O28" s="247"/>
      <c r="P28" s="256"/>
      <c r="Q28" s="247"/>
      <c r="R28" s="247"/>
      <c r="S28" s="21"/>
      <c r="T28" s="18"/>
      <c r="U28" s="25"/>
      <c r="V28" s="18"/>
      <c r="W28" s="18"/>
      <c r="X28" s="21"/>
      <c r="Y28" s="18"/>
      <c r="Z28" s="18"/>
      <c r="AA28" s="18"/>
      <c r="AB28" s="18"/>
      <c r="AC28" s="21"/>
      <c r="AD28" s="18"/>
      <c r="AE28" s="18"/>
      <c r="AF28" s="18"/>
      <c r="AG28" s="18"/>
      <c r="AH28" s="21"/>
      <c r="AI28" s="18"/>
      <c r="AJ28" s="18"/>
      <c r="AK28" s="18"/>
      <c r="AL28" s="18"/>
      <c r="AM28" s="21"/>
      <c r="AN28" s="18"/>
      <c r="AO28" s="18"/>
      <c r="AP28" s="18"/>
      <c r="AQ28" s="18"/>
      <c r="AR28" s="21"/>
    </row>
    <row r="29" spans="2:44" s="16" customFormat="1">
      <c r="C29" s="20"/>
      <c r="D29" s="21"/>
      <c r="E29" s="20"/>
      <c r="F29" s="20"/>
      <c r="G29" s="20"/>
      <c r="H29" s="20"/>
      <c r="I29" s="21"/>
      <c r="J29" s="20"/>
      <c r="K29" s="20"/>
      <c r="L29" s="20"/>
      <c r="M29" s="20"/>
      <c r="N29" s="21"/>
      <c r="O29" s="20"/>
      <c r="P29" s="20"/>
      <c r="Q29" s="20"/>
      <c r="R29" s="20"/>
      <c r="S29" s="21"/>
      <c r="T29" s="20"/>
      <c r="U29" s="20"/>
      <c r="V29" s="20"/>
      <c r="W29" s="20"/>
      <c r="X29" s="21"/>
      <c r="Y29" s="13"/>
      <c r="Z29" s="13"/>
      <c r="AA29" s="13"/>
      <c r="AB29" s="13"/>
      <c r="AC29" s="21"/>
      <c r="AD29" s="13"/>
      <c r="AE29" s="13"/>
      <c r="AF29" s="13"/>
      <c r="AG29" s="13"/>
      <c r="AH29" s="21"/>
      <c r="AI29" s="13"/>
      <c r="AJ29" s="13"/>
      <c r="AK29" s="13"/>
      <c r="AL29" s="13"/>
      <c r="AM29" s="21"/>
      <c r="AN29" s="13"/>
      <c r="AO29" s="13"/>
      <c r="AP29" s="13"/>
      <c r="AQ29" s="13"/>
      <c r="AR29" s="21"/>
    </row>
    <row r="30" spans="2:44">
      <c r="E30" s="241"/>
      <c r="F30" s="257"/>
      <c r="G30" s="241"/>
      <c r="H30" s="241"/>
      <c r="Y30" s="14"/>
      <c r="Z30" s="14"/>
      <c r="AA30" s="14"/>
      <c r="AB30" s="14"/>
    </row>
    <row r="31" spans="2:44" s="14" customFormat="1">
      <c r="B31" s="16"/>
      <c r="C31" s="20"/>
      <c r="D31" s="65"/>
      <c r="E31" s="241"/>
      <c r="F31" s="257"/>
      <c r="G31" s="241"/>
      <c r="H31" s="241"/>
      <c r="I31" s="65"/>
      <c r="J31" s="241"/>
      <c r="K31" s="257"/>
      <c r="L31" s="241"/>
      <c r="M31" s="241"/>
      <c r="N31" s="65"/>
      <c r="O31" s="241"/>
      <c r="P31" s="257"/>
      <c r="Q31" s="241"/>
      <c r="R31" s="241"/>
      <c r="S31" s="65"/>
      <c r="T31" s="20"/>
      <c r="U31" s="20"/>
      <c r="V31" s="20"/>
      <c r="W31" s="20"/>
      <c r="X31" s="65"/>
      <c r="Y31" s="20"/>
      <c r="Z31" s="20"/>
      <c r="AA31" s="20"/>
      <c r="AB31" s="20"/>
      <c r="AC31" s="65"/>
      <c r="AD31" s="20"/>
      <c r="AE31" s="20"/>
      <c r="AF31" s="20"/>
      <c r="AG31" s="20"/>
      <c r="AH31" s="65"/>
      <c r="AI31" s="20"/>
      <c r="AJ31" s="20"/>
      <c r="AK31" s="20"/>
      <c r="AL31" s="20"/>
      <c r="AM31" s="65"/>
      <c r="AN31" s="20"/>
      <c r="AO31" s="20"/>
      <c r="AP31" s="20"/>
      <c r="AQ31" s="20"/>
      <c r="AR31" s="65"/>
    </row>
    <row r="32" spans="2:44" ht="15.75">
      <c r="B32" s="25"/>
      <c r="C32" s="25"/>
      <c r="D32" s="21"/>
      <c r="E32" s="258"/>
      <c r="F32" s="574"/>
      <c r="G32" s="574"/>
      <c r="H32" s="258"/>
      <c r="I32" s="21"/>
      <c r="J32" s="258"/>
      <c r="K32" s="574"/>
      <c r="L32" s="574"/>
      <c r="M32" s="258"/>
      <c r="N32" s="21"/>
      <c r="O32" s="258"/>
      <c r="P32" s="574"/>
      <c r="Q32" s="574"/>
      <c r="R32" s="258"/>
      <c r="S32" s="21"/>
      <c r="T32" s="18"/>
      <c r="U32" s="25"/>
      <c r="V32" s="18"/>
      <c r="W32" s="18"/>
      <c r="X32" s="21"/>
      <c r="Y32" s="14"/>
      <c r="Z32" s="14"/>
      <c r="AA32" s="14"/>
      <c r="AB32" s="14"/>
      <c r="AC32" s="21"/>
      <c r="AH32" s="21"/>
      <c r="AM32" s="21"/>
      <c r="AR32" s="21"/>
    </row>
    <row r="33" spans="2:44" ht="15.75">
      <c r="B33" s="33" t="s">
        <v>517</v>
      </c>
      <c r="C33" s="33"/>
      <c r="D33" s="17"/>
      <c r="E33" s="244"/>
      <c r="F33" s="575">
        <f>$F$7</f>
        <v>2014</v>
      </c>
      <c r="G33" s="575"/>
      <c r="H33" s="244"/>
      <c r="I33" s="17"/>
      <c r="J33" s="244"/>
      <c r="K33" s="575">
        <f>$K$7</f>
        <v>2013</v>
      </c>
      <c r="L33" s="575"/>
      <c r="M33" s="244"/>
      <c r="N33" s="17"/>
      <c r="O33" s="244"/>
      <c r="P33" s="575">
        <f>$P$7</f>
        <v>2012</v>
      </c>
      <c r="Q33" s="575"/>
      <c r="R33" s="244"/>
      <c r="S33" s="17"/>
      <c r="T33" s="36"/>
      <c r="U33" s="573">
        <f>$U$7</f>
        <v>2011</v>
      </c>
      <c r="V33" s="573"/>
      <c r="W33" s="36"/>
      <c r="X33" s="17"/>
      <c r="Y33" s="36"/>
      <c r="Z33" s="573">
        <f>$Z$7</f>
        <v>2014</v>
      </c>
      <c r="AA33" s="573"/>
      <c r="AB33" s="36"/>
      <c r="AC33" s="17"/>
      <c r="AD33" s="36"/>
      <c r="AE33" s="573">
        <f>$AE$7</f>
        <v>2013</v>
      </c>
      <c r="AF33" s="573"/>
      <c r="AG33" s="36"/>
      <c r="AH33" s="17"/>
      <c r="AI33" s="36"/>
      <c r="AJ33" s="573">
        <f>$AJ$7</f>
        <v>2012</v>
      </c>
      <c r="AK33" s="573"/>
      <c r="AL33" s="36"/>
      <c r="AM33" s="17"/>
      <c r="AN33" s="36"/>
      <c r="AO33" s="573">
        <f>$AO$7</f>
        <v>2011</v>
      </c>
      <c r="AP33" s="573"/>
      <c r="AQ33" s="36"/>
      <c r="AR33" s="17"/>
    </row>
    <row r="34" spans="2:44" ht="16.5" thickBot="1">
      <c r="B34" s="34" t="s">
        <v>67</v>
      </c>
      <c r="C34" s="35" t="e">
        <f>IF(RIGHT(#REF!,2)="12",RIGHT(#REF!,2)&amp;"M",RIGHT(#REF!,1)&amp;"M")</f>
        <v>#REF!</v>
      </c>
      <c r="E34" s="245" t="s">
        <v>528</v>
      </c>
      <c r="F34" s="245" t="s">
        <v>529</v>
      </c>
      <c r="G34" s="245" t="s">
        <v>530</v>
      </c>
      <c r="H34" s="245" t="s">
        <v>531</v>
      </c>
      <c r="J34" s="245" t="s">
        <v>528</v>
      </c>
      <c r="K34" s="245" t="s">
        <v>529</v>
      </c>
      <c r="L34" s="245" t="s">
        <v>530</v>
      </c>
      <c r="M34" s="245" t="s">
        <v>531</v>
      </c>
      <c r="O34" s="245" t="s">
        <v>528</v>
      </c>
      <c r="P34" s="245" t="s">
        <v>529</v>
      </c>
      <c r="Q34" s="245" t="s">
        <v>530</v>
      </c>
      <c r="R34" s="245" t="s">
        <v>531</v>
      </c>
      <c r="T34" s="35" t="s">
        <v>528</v>
      </c>
      <c r="U34" s="35" t="s">
        <v>529</v>
      </c>
      <c r="V34" s="35" t="s">
        <v>530</v>
      </c>
      <c r="W34" s="35" t="s">
        <v>531</v>
      </c>
      <c r="Y34" s="35" t="s">
        <v>510</v>
      </c>
      <c r="Z34" s="35" t="s">
        <v>511</v>
      </c>
      <c r="AA34" s="35" t="s">
        <v>513</v>
      </c>
      <c r="AB34" s="35" t="s">
        <v>514</v>
      </c>
      <c r="AD34" s="35" t="s">
        <v>510</v>
      </c>
      <c r="AE34" s="35" t="s">
        <v>511</v>
      </c>
      <c r="AF34" s="35" t="s">
        <v>513</v>
      </c>
      <c r="AG34" s="35" t="s">
        <v>514</v>
      </c>
      <c r="AI34" s="35" t="s">
        <v>510</v>
      </c>
      <c r="AJ34" s="35" t="s">
        <v>511</v>
      </c>
      <c r="AK34" s="35" t="s">
        <v>513</v>
      </c>
      <c r="AL34" s="35" t="s">
        <v>514</v>
      </c>
      <c r="AN34" s="35" t="s">
        <v>510</v>
      </c>
      <c r="AO34" s="35" t="s">
        <v>511</v>
      </c>
      <c r="AP34" s="35" t="s">
        <v>513</v>
      </c>
      <c r="AQ34" s="35" t="s">
        <v>514</v>
      </c>
    </row>
    <row r="35" spans="2:44" s="14" customFormat="1">
      <c r="B35" s="50" t="s">
        <v>371</v>
      </c>
      <c r="C35" s="51" t="e">
        <f>#REF!/1000</f>
        <v>#REF!</v>
      </c>
      <c r="D35" s="21"/>
      <c r="E35" s="230">
        <v>88.684084880599997</v>
      </c>
      <c r="F35" s="230">
        <v>179.14783527013799</v>
      </c>
      <c r="G35" s="230">
        <v>262.04112780429398</v>
      </c>
      <c r="H35" s="230" t="e">
        <f t="shared" ref="H35:H36" si="20">IF(AND($F$7=VALUE($C$4),H$8=$C$8),$C35,0)</f>
        <v>#REF!</v>
      </c>
      <c r="I35" s="21"/>
      <c r="J35" s="230">
        <v>68.311599905999998</v>
      </c>
      <c r="K35" s="230">
        <v>164.42677926481301</v>
      </c>
      <c r="L35" s="230">
        <v>239.23771085460899</v>
      </c>
      <c r="M35" s="230">
        <v>326.32340933283399</v>
      </c>
      <c r="N35" s="21"/>
      <c r="O35" s="230">
        <v>83.331509917899993</v>
      </c>
      <c r="P35" s="230">
        <v>165.03838112599999</v>
      </c>
      <c r="Q35" s="230">
        <v>235.071636454274</v>
      </c>
      <c r="R35" s="230">
        <v>334.55639374734</v>
      </c>
      <c r="S35" s="21"/>
      <c r="T35" s="230">
        <v>75.038396383099993</v>
      </c>
      <c r="U35" s="230">
        <v>156.29900809619997</v>
      </c>
      <c r="V35" s="230">
        <v>234.74715664950003</v>
      </c>
      <c r="W35" s="230">
        <v>320.98881743240003</v>
      </c>
      <c r="X35" s="21"/>
      <c r="Y35" s="51">
        <f t="shared" ref="Y35:Y50" si="21">+E35</f>
        <v>88.684084880599997</v>
      </c>
      <c r="Z35" s="51">
        <f t="shared" ref="Z35:AB50" si="22">+F35-E35</f>
        <v>90.463750389537992</v>
      </c>
      <c r="AA35" s="51">
        <f t="shared" si="22"/>
        <v>82.893292534155989</v>
      </c>
      <c r="AB35" s="51" t="e">
        <f t="shared" si="22"/>
        <v>#REF!</v>
      </c>
      <c r="AC35" s="21"/>
      <c r="AD35" s="51">
        <f t="shared" ref="AD35:AD50" si="23">+J35</f>
        <v>68.311599905999998</v>
      </c>
      <c r="AE35" s="51">
        <f t="shared" ref="AE35:AG50" si="24">+K35-J35</f>
        <v>96.115179358813009</v>
      </c>
      <c r="AF35" s="51">
        <f t="shared" si="24"/>
        <v>74.810931589795985</v>
      </c>
      <c r="AG35" s="51">
        <f t="shared" si="24"/>
        <v>87.085698478224998</v>
      </c>
      <c r="AH35" s="21"/>
      <c r="AI35" s="51">
        <f t="shared" ref="AI35:AI50" si="25">+O35</f>
        <v>83.331509917899993</v>
      </c>
      <c r="AJ35" s="51">
        <f t="shared" ref="AJ35:AL50" si="26">+P35-O35</f>
        <v>81.706871208099997</v>
      </c>
      <c r="AK35" s="51">
        <f t="shared" si="26"/>
        <v>70.033255328274009</v>
      </c>
      <c r="AL35" s="51">
        <f t="shared" si="26"/>
        <v>99.484757293065996</v>
      </c>
      <c r="AM35" s="21"/>
      <c r="AN35" s="51">
        <f t="shared" ref="AN35:AN50" si="27">+T35</f>
        <v>75.038396383099993</v>
      </c>
      <c r="AO35" s="51">
        <f t="shared" ref="AO35:AQ50" si="28">+U35-T35</f>
        <v>81.260611713099976</v>
      </c>
      <c r="AP35" s="51">
        <f t="shared" si="28"/>
        <v>78.448148553300058</v>
      </c>
      <c r="AQ35" s="51">
        <f t="shared" si="28"/>
        <v>86.241660782899999</v>
      </c>
      <c r="AR35" s="21"/>
    </row>
    <row r="36" spans="2:44" s="14" customFormat="1">
      <c r="B36" s="16" t="s">
        <v>372</v>
      </c>
      <c r="C36" s="19" t="e">
        <f>#REF!/1000</f>
        <v>#REF!</v>
      </c>
      <c r="D36" s="21"/>
      <c r="E36" s="233">
        <v>542.27651580966597</v>
      </c>
      <c r="F36" s="233">
        <v>1067.09140411475</v>
      </c>
      <c r="G36" s="233">
        <v>1596.70136478475</v>
      </c>
      <c r="H36" s="233" t="e">
        <f t="shared" si="20"/>
        <v>#REF!</v>
      </c>
      <c r="I36" s="21"/>
      <c r="J36" s="233">
        <v>459.92705675679997</v>
      </c>
      <c r="K36" s="233">
        <v>913.98541108610004</v>
      </c>
      <c r="L36" s="233">
        <v>1370.9421876647998</v>
      </c>
      <c r="M36" s="233">
        <v>1917.4196774914399</v>
      </c>
      <c r="N36" s="21"/>
      <c r="O36" s="300">
        <f>469.2146986443-4383322.75/1000000</f>
        <v>464.83137589429998</v>
      </c>
      <c r="P36" s="300">
        <f>959.5287186556-8709885.84/1000000</f>
        <v>950.81883281559999</v>
      </c>
      <c r="Q36" s="300">
        <f>1430.3896161901-12539083.79/1000000</f>
        <v>1417.8505324001001</v>
      </c>
      <c r="R36" s="300">
        <f>1915.1230489081-17642067.34/1000000</f>
        <v>1897.4809815680999</v>
      </c>
      <c r="S36" s="21"/>
      <c r="T36" s="300">
        <f>491.8168330731-6363502/1000000</f>
        <v>485.4533310731</v>
      </c>
      <c r="U36" s="300">
        <f>995.1910373828-8275455.91/1000000</f>
        <v>986.9155814728</v>
      </c>
      <c r="V36" s="300">
        <f>1466.8527038063-13533948.28/1000000</f>
        <v>1453.3187555263</v>
      </c>
      <c r="W36" s="300">
        <f>1952.6464668066-18169133.62/1000000</f>
        <v>1934.4773331866002</v>
      </c>
      <c r="X36" s="21"/>
      <c r="Y36" s="19">
        <f t="shared" si="21"/>
        <v>542.27651580966597</v>
      </c>
      <c r="Z36" s="19">
        <f t="shared" si="22"/>
        <v>524.81488830508408</v>
      </c>
      <c r="AA36" s="19">
        <f t="shared" si="22"/>
        <v>529.60996066999996</v>
      </c>
      <c r="AB36" s="19" t="e">
        <f t="shared" si="22"/>
        <v>#REF!</v>
      </c>
      <c r="AC36" s="21"/>
      <c r="AD36" s="19">
        <f t="shared" si="23"/>
        <v>459.92705675679997</v>
      </c>
      <c r="AE36" s="19">
        <f t="shared" si="24"/>
        <v>454.05835432930007</v>
      </c>
      <c r="AF36" s="19">
        <f t="shared" si="24"/>
        <v>456.95677657869976</v>
      </c>
      <c r="AG36" s="19">
        <f t="shared" si="24"/>
        <v>546.47748982664007</v>
      </c>
      <c r="AH36" s="21"/>
      <c r="AI36" s="19">
        <f t="shared" si="25"/>
        <v>464.83137589429998</v>
      </c>
      <c r="AJ36" s="19">
        <f t="shared" si="26"/>
        <v>485.98745692130001</v>
      </c>
      <c r="AK36" s="19">
        <f t="shared" si="26"/>
        <v>467.03169958450007</v>
      </c>
      <c r="AL36" s="19">
        <f t="shared" si="26"/>
        <v>479.63044916799981</v>
      </c>
      <c r="AM36" s="21"/>
      <c r="AN36" s="19">
        <f t="shared" si="27"/>
        <v>485.4533310731</v>
      </c>
      <c r="AO36" s="19">
        <f t="shared" si="28"/>
        <v>501.4622503997</v>
      </c>
      <c r="AP36" s="19">
        <f t="shared" si="28"/>
        <v>466.40317405350004</v>
      </c>
      <c r="AQ36" s="19">
        <f t="shared" si="28"/>
        <v>481.15857766030012</v>
      </c>
      <c r="AR36" s="21"/>
    </row>
    <row r="37" spans="2:44" ht="15.75">
      <c r="B37" s="42" t="s">
        <v>417</v>
      </c>
      <c r="C37" s="43" t="e">
        <f>+C35+C36</f>
        <v>#REF!</v>
      </c>
      <c r="D37" s="23"/>
      <c r="E37" s="43">
        <v>630.96060069026601</v>
      </c>
      <c r="F37" s="43">
        <v>1246.2392393848882</v>
      </c>
      <c r="G37" s="43">
        <v>1858.7424925890441</v>
      </c>
      <c r="H37" s="43" t="e">
        <f>+H35+H36</f>
        <v>#REF!</v>
      </c>
      <c r="I37" s="23"/>
      <c r="J37" s="43">
        <f>+J35+J36</f>
        <v>528.23865666279994</v>
      </c>
      <c r="K37" s="43">
        <f>+K35+K36</f>
        <v>1078.4121903509131</v>
      </c>
      <c r="L37" s="43">
        <f>+L35+L36</f>
        <v>1610.1798985194089</v>
      </c>
      <c r="M37" s="43">
        <v>2243.7430868242736</v>
      </c>
      <c r="N37" s="23"/>
      <c r="O37" s="43">
        <f>+O35+O36</f>
        <v>548.16288581219999</v>
      </c>
      <c r="P37" s="43">
        <f>+P35+P36</f>
        <v>1115.8572139416001</v>
      </c>
      <c r="Q37" s="43">
        <f>+Q35+Q36</f>
        <v>1652.9221688543741</v>
      </c>
      <c r="R37" s="43">
        <f>+R35+R36</f>
        <v>2232.0373753154399</v>
      </c>
      <c r="S37" s="23"/>
      <c r="T37" s="43">
        <f>+T35+T36</f>
        <v>560.49172745620001</v>
      </c>
      <c r="U37" s="43">
        <f>+U35+U36</f>
        <v>1143.2145895690001</v>
      </c>
      <c r="V37" s="43">
        <f>+V35+V36</f>
        <v>1688.0659121758001</v>
      </c>
      <c r="W37" s="43">
        <f>+W35+W36</f>
        <v>2255.466150619</v>
      </c>
      <c r="X37" s="23"/>
      <c r="Y37" s="43">
        <f t="shared" si="21"/>
        <v>630.96060069026601</v>
      </c>
      <c r="Z37" s="43">
        <f t="shared" si="22"/>
        <v>615.27863869462215</v>
      </c>
      <c r="AA37" s="43">
        <f t="shared" si="22"/>
        <v>612.50325320415595</v>
      </c>
      <c r="AB37" s="43" t="e">
        <f t="shared" si="22"/>
        <v>#REF!</v>
      </c>
      <c r="AC37" s="23"/>
      <c r="AD37" s="43">
        <f t="shared" si="23"/>
        <v>528.23865666279994</v>
      </c>
      <c r="AE37" s="43">
        <f t="shared" si="24"/>
        <v>550.17353368811314</v>
      </c>
      <c r="AF37" s="43">
        <f t="shared" si="24"/>
        <v>531.7677081684958</v>
      </c>
      <c r="AG37" s="43">
        <f t="shared" si="24"/>
        <v>633.56318830486475</v>
      </c>
      <c r="AH37" s="23"/>
      <c r="AI37" s="43">
        <f t="shared" si="25"/>
        <v>548.16288581219999</v>
      </c>
      <c r="AJ37" s="43">
        <f t="shared" si="26"/>
        <v>567.69432812940011</v>
      </c>
      <c r="AK37" s="43">
        <f t="shared" si="26"/>
        <v>537.06495491277406</v>
      </c>
      <c r="AL37" s="43">
        <f t="shared" si="26"/>
        <v>579.11520646106578</v>
      </c>
      <c r="AM37" s="23"/>
      <c r="AN37" s="43">
        <f t="shared" si="27"/>
        <v>560.49172745620001</v>
      </c>
      <c r="AO37" s="43">
        <f t="shared" si="28"/>
        <v>582.72286211280004</v>
      </c>
      <c r="AP37" s="43">
        <f t="shared" si="28"/>
        <v>544.85132260680007</v>
      </c>
      <c r="AQ37" s="43">
        <f t="shared" si="28"/>
        <v>567.4002384431999</v>
      </c>
      <c r="AR37" s="23"/>
    </row>
    <row r="38" spans="2:44" s="14" customFormat="1" ht="15.75">
      <c r="B38" s="42" t="s">
        <v>486</v>
      </c>
      <c r="C38" s="43" t="e">
        <f>+#REF!/1000</f>
        <v>#REF!</v>
      </c>
      <c r="D38" s="23"/>
      <c r="E38" s="234">
        <v>-177.494285599607</v>
      </c>
      <c r="F38" s="234">
        <v>-302.92971586252298</v>
      </c>
      <c r="G38" s="234">
        <v>-395.38403295318801</v>
      </c>
      <c r="H38" s="234" t="e">
        <f t="shared" ref="H38:H41" si="29">IF(AND($F$7=VALUE($C$4),H$8=$C$8),$C38,0)</f>
        <v>#REF!</v>
      </c>
      <c r="I38" s="23"/>
      <c r="J38" s="234">
        <v>-158.678280734102</v>
      </c>
      <c r="K38" s="234">
        <v>-353.40448732097497</v>
      </c>
      <c r="L38" s="234">
        <v>-517.61797685564704</v>
      </c>
      <c r="M38" s="234">
        <v>-758.67576130057</v>
      </c>
      <c r="N38" s="23"/>
      <c r="O38" s="301">
        <f>-250.886613052488--49511638.58/1000000</f>
        <v>-201.37497447248802</v>
      </c>
      <c r="P38" s="301">
        <f>-411.870901741304--86223979.17/1000000</f>
        <v>-325.646922571304</v>
      </c>
      <c r="Q38" s="301">
        <f>-544.851115068083--125395954.04/1000000</f>
        <v>-419.45516102808301</v>
      </c>
      <c r="R38" s="301">
        <f>-806.442145839445--205978849.73/1000000</f>
        <v>-600.46329610944497</v>
      </c>
      <c r="S38" s="23"/>
      <c r="T38" s="301">
        <f>-173.146903295472--24283498.87/1000000</f>
        <v>-148.86340442547197</v>
      </c>
      <c r="U38" s="301">
        <f>-407.852090006436--56538471.51/1000000</f>
        <v>-351.31361849643599</v>
      </c>
      <c r="V38" s="301">
        <f>-511.699910522511--75829669.14/1000000</f>
        <v>-435.87024138251098</v>
      </c>
      <c r="W38" s="301">
        <f>-688.792493819819--137707863.04/1000000</f>
        <v>-551.08463077981901</v>
      </c>
      <c r="X38" s="23"/>
      <c r="Y38" s="44">
        <f t="shared" si="21"/>
        <v>-177.494285599607</v>
      </c>
      <c r="Z38" s="44">
        <f t="shared" si="22"/>
        <v>-125.43543026291599</v>
      </c>
      <c r="AA38" s="44">
        <f t="shared" si="22"/>
        <v>-92.454317090665029</v>
      </c>
      <c r="AB38" s="44" t="e">
        <f t="shared" si="22"/>
        <v>#REF!</v>
      </c>
      <c r="AC38" s="23"/>
      <c r="AD38" s="44">
        <f t="shared" si="23"/>
        <v>-158.678280734102</v>
      </c>
      <c r="AE38" s="44">
        <f t="shared" si="24"/>
        <v>-194.72620658687296</v>
      </c>
      <c r="AF38" s="44">
        <f t="shared" si="24"/>
        <v>-164.21348953467208</v>
      </c>
      <c r="AG38" s="44">
        <f t="shared" si="24"/>
        <v>-241.05778444492296</v>
      </c>
      <c r="AH38" s="23"/>
      <c r="AI38" s="44">
        <f t="shared" si="25"/>
        <v>-201.37497447248802</v>
      </c>
      <c r="AJ38" s="44">
        <f t="shared" si="26"/>
        <v>-124.27194809881598</v>
      </c>
      <c r="AK38" s="44">
        <f t="shared" si="26"/>
        <v>-93.808238456779009</v>
      </c>
      <c r="AL38" s="44">
        <f t="shared" si="26"/>
        <v>-181.00813508136196</v>
      </c>
      <c r="AM38" s="23"/>
      <c r="AN38" s="44">
        <f t="shared" si="27"/>
        <v>-148.86340442547197</v>
      </c>
      <c r="AO38" s="44">
        <f t="shared" si="28"/>
        <v>-202.45021407096402</v>
      </c>
      <c r="AP38" s="44">
        <f t="shared" si="28"/>
        <v>-84.55662288607499</v>
      </c>
      <c r="AQ38" s="44">
        <f t="shared" si="28"/>
        <v>-115.21438939730803</v>
      </c>
      <c r="AR38" s="23"/>
    </row>
    <row r="39" spans="2:44" s="14" customFormat="1">
      <c r="B39" s="50" t="s">
        <v>470</v>
      </c>
      <c r="C39" s="46" t="e">
        <f>SUM(#REF!)/1000</f>
        <v>#REF!</v>
      </c>
      <c r="D39" s="21"/>
      <c r="E39" s="231">
        <v>0.23887296869999999</v>
      </c>
      <c r="F39" s="231">
        <v>8.7478020094000009</v>
      </c>
      <c r="G39" s="231">
        <v>-0.98541768000000052</v>
      </c>
      <c r="H39" s="231" t="e">
        <f t="shared" si="29"/>
        <v>#REF!</v>
      </c>
      <c r="I39" s="21"/>
      <c r="J39" s="231">
        <v>5.1752900228000005</v>
      </c>
      <c r="K39" s="231">
        <v>6.3520383530000002</v>
      </c>
      <c r="L39" s="231">
        <v>7.1345292000000002</v>
      </c>
      <c r="M39" s="231">
        <v>8.0751634350000003</v>
      </c>
      <c r="N39" s="21"/>
      <c r="O39" s="231">
        <v>0.21355517439999999</v>
      </c>
      <c r="P39" s="231">
        <v>-14.806654032400202</v>
      </c>
      <c r="Q39" s="231">
        <v>-4.1695008052579983</v>
      </c>
      <c r="R39" s="231">
        <v>-4.7019986502280009</v>
      </c>
      <c r="S39" s="21"/>
      <c r="T39" s="231">
        <v>12.1913637626</v>
      </c>
      <c r="U39" s="231">
        <v>12.353489401400001</v>
      </c>
      <c r="V39" s="231">
        <v>42.348957621799983</v>
      </c>
      <c r="W39" s="231">
        <v>48.354364371399996</v>
      </c>
      <c r="X39" s="21"/>
      <c r="Y39" s="46">
        <f t="shared" si="21"/>
        <v>0.23887296869999999</v>
      </c>
      <c r="Z39" s="46">
        <f t="shared" si="22"/>
        <v>8.5089290407</v>
      </c>
      <c r="AA39" s="46">
        <f t="shared" si="22"/>
        <v>-9.733219689400002</v>
      </c>
      <c r="AB39" s="46" t="e">
        <f t="shared" si="22"/>
        <v>#REF!</v>
      </c>
      <c r="AC39" s="21"/>
      <c r="AD39" s="46">
        <f t="shared" si="23"/>
        <v>5.1752900228000005</v>
      </c>
      <c r="AE39" s="46">
        <f t="shared" si="24"/>
        <v>1.1767483301999997</v>
      </c>
      <c r="AF39" s="46">
        <f t="shared" si="24"/>
        <v>0.78249084700000004</v>
      </c>
      <c r="AG39" s="46">
        <f t="shared" si="24"/>
        <v>0.9406342350000001</v>
      </c>
      <c r="AH39" s="21"/>
      <c r="AI39" s="46">
        <f t="shared" si="25"/>
        <v>0.21355517439999999</v>
      </c>
      <c r="AJ39" s="46">
        <f t="shared" si="26"/>
        <v>-15.020209206800201</v>
      </c>
      <c r="AK39" s="46">
        <f t="shared" si="26"/>
        <v>10.637153227142203</v>
      </c>
      <c r="AL39" s="46">
        <f t="shared" si="26"/>
        <v>-0.53249784497000263</v>
      </c>
      <c r="AM39" s="21"/>
      <c r="AN39" s="46">
        <f t="shared" si="27"/>
        <v>12.1913637626</v>
      </c>
      <c r="AO39" s="46">
        <f t="shared" si="28"/>
        <v>0.16212563880000097</v>
      </c>
      <c r="AP39" s="46">
        <f t="shared" si="28"/>
        <v>29.995468220399982</v>
      </c>
      <c r="AQ39" s="46">
        <f t="shared" si="28"/>
        <v>6.005406749600013</v>
      </c>
      <c r="AR39" s="21"/>
    </row>
    <row r="40" spans="2:44" s="14" customFormat="1">
      <c r="B40" s="50" t="s">
        <v>487</v>
      </c>
      <c r="C40" s="51" t="e">
        <f>+#REF!/1000</f>
        <v>#REF!</v>
      </c>
      <c r="D40" s="21"/>
      <c r="E40" s="230">
        <v>-1.0973810000000002</v>
      </c>
      <c r="F40" s="230">
        <v>-126.83031158</v>
      </c>
      <c r="G40" s="230">
        <v>-136.94519179</v>
      </c>
      <c r="H40" s="230" t="e">
        <f t="shared" si="29"/>
        <v>#REF!</v>
      </c>
      <c r="I40" s="21"/>
      <c r="J40" s="230">
        <v>-33.246118000000003</v>
      </c>
      <c r="K40" s="230">
        <v>-50.733884289999999</v>
      </c>
      <c r="L40" s="230">
        <v>-71.452025890000002</v>
      </c>
      <c r="M40" s="230">
        <v>-102.97632340999999</v>
      </c>
      <c r="N40" s="21"/>
      <c r="O40" s="230">
        <v>-1.5089999999999999</v>
      </c>
      <c r="P40" s="230">
        <v>-9.2537448599999994</v>
      </c>
      <c r="Q40" s="230">
        <v>-24.603939560000001</v>
      </c>
      <c r="R40" s="230">
        <v>-25.742667289999996</v>
      </c>
      <c r="S40" s="21"/>
      <c r="T40" s="230">
        <v>-9.2837081794000014</v>
      </c>
      <c r="U40" s="230">
        <v>-10.8915794452</v>
      </c>
      <c r="V40" s="230">
        <v>-14.32570664</v>
      </c>
      <c r="W40" s="230">
        <v>-17.262730269999999</v>
      </c>
      <c r="X40" s="21"/>
      <c r="Y40" s="51">
        <f t="shared" si="21"/>
        <v>-1.0973810000000002</v>
      </c>
      <c r="Z40" s="51">
        <f t="shared" si="22"/>
        <v>-125.73293058</v>
      </c>
      <c r="AA40" s="51">
        <f t="shared" si="22"/>
        <v>-10.114880209999995</v>
      </c>
      <c r="AB40" s="51" t="e">
        <f t="shared" si="22"/>
        <v>#REF!</v>
      </c>
      <c r="AC40" s="21"/>
      <c r="AD40" s="51">
        <f t="shared" si="23"/>
        <v>-33.246118000000003</v>
      </c>
      <c r="AE40" s="51">
        <f t="shared" si="24"/>
        <v>-17.487766289999996</v>
      </c>
      <c r="AF40" s="51">
        <f t="shared" si="24"/>
        <v>-20.718141600000003</v>
      </c>
      <c r="AG40" s="51">
        <f t="shared" si="24"/>
        <v>-31.52429751999999</v>
      </c>
      <c r="AH40" s="21"/>
      <c r="AI40" s="51">
        <f t="shared" si="25"/>
        <v>-1.5089999999999999</v>
      </c>
      <c r="AJ40" s="51">
        <f t="shared" si="26"/>
        <v>-7.7447448599999991</v>
      </c>
      <c r="AK40" s="51">
        <f t="shared" si="26"/>
        <v>-15.350194700000001</v>
      </c>
      <c r="AL40" s="51">
        <f t="shared" si="26"/>
        <v>-1.1387277299999958</v>
      </c>
      <c r="AM40" s="21"/>
      <c r="AN40" s="51">
        <f t="shared" si="27"/>
        <v>-9.2837081794000014</v>
      </c>
      <c r="AO40" s="51">
        <f t="shared" si="28"/>
        <v>-1.6078712657999983</v>
      </c>
      <c r="AP40" s="51">
        <f t="shared" si="28"/>
        <v>-3.4341271948000003</v>
      </c>
      <c r="AQ40" s="51">
        <f t="shared" si="28"/>
        <v>-2.9370236299999988</v>
      </c>
      <c r="AR40" s="21"/>
    </row>
    <row r="41" spans="2:44" s="14" customFormat="1">
      <c r="B41" s="50" t="s">
        <v>488</v>
      </c>
      <c r="C41" s="51" t="e">
        <f>+#REF!/1000</f>
        <v>#REF!</v>
      </c>
      <c r="D41" s="21"/>
      <c r="E41" s="230">
        <v>0</v>
      </c>
      <c r="F41" s="230">
        <v>0</v>
      </c>
      <c r="G41" s="230">
        <v>0</v>
      </c>
      <c r="H41" s="230" t="e">
        <f t="shared" si="29"/>
        <v>#REF!</v>
      </c>
      <c r="I41" s="21"/>
      <c r="J41" s="230">
        <v>0</v>
      </c>
      <c r="K41" s="230">
        <v>0</v>
      </c>
      <c r="L41" s="230">
        <v>0</v>
      </c>
      <c r="M41" s="230">
        <v>0</v>
      </c>
      <c r="N41" s="21"/>
      <c r="O41" s="230">
        <v>0</v>
      </c>
      <c r="P41" s="230">
        <v>0</v>
      </c>
      <c r="Q41" s="230">
        <v>0</v>
      </c>
      <c r="R41" s="230">
        <v>0</v>
      </c>
      <c r="S41" s="21"/>
      <c r="T41" s="230">
        <v>0</v>
      </c>
      <c r="U41" s="230">
        <v>0</v>
      </c>
      <c r="V41" s="230">
        <v>0</v>
      </c>
      <c r="W41" s="230">
        <v>0</v>
      </c>
      <c r="X41" s="21"/>
      <c r="Y41" s="51">
        <f t="shared" si="21"/>
        <v>0</v>
      </c>
      <c r="Z41" s="51">
        <f t="shared" si="22"/>
        <v>0</v>
      </c>
      <c r="AA41" s="51">
        <f t="shared" si="22"/>
        <v>0</v>
      </c>
      <c r="AB41" s="51" t="e">
        <f t="shared" si="22"/>
        <v>#REF!</v>
      </c>
      <c r="AC41" s="21"/>
      <c r="AD41" s="51">
        <f t="shared" si="23"/>
        <v>0</v>
      </c>
      <c r="AE41" s="51">
        <f t="shared" si="24"/>
        <v>0</v>
      </c>
      <c r="AF41" s="51">
        <f t="shared" si="24"/>
        <v>0</v>
      </c>
      <c r="AG41" s="51">
        <f t="shared" si="24"/>
        <v>0</v>
      </c>
      <c r="AH41" s="21"/>
      <c r="AI41" s="51">
        <f t="shared" si="25"/>
        <v>0</v>
      </c>
      <c r="AJ41" s="51">
        <f t="shared" si="26"/>
        <v>0</v>
      </c>
      <c r="AK41" s="51">
        <f t="shared" si="26"/>
        <v>0</v>
      </c>
      <c r="AL41" s="51">
        <f t="shared" si="26"/>
        <v>0</v>
      </c>
      <c r="AM41" s="21"/>
      <c r="AN41" s="51">
        <f t="shared" si="27"/>
        <v>0</v>
      </c>
      <c r="AO41" s="51">
        <f t="shared" si="28"/>
        <v>0</v>
      </c>
      <c r="AP41" s="51">
        <f t="shared" si="28"/>
        <v>0</v>
      </c>
      <c r="AQ41" s="51">
        <f t="shared" si="28"/>
        <v>0</v>
      </c>
      <c r="AR41" s="21"/>
    </row>
    <row r="42" spans="2:44" s="14" customFormat="1">
      <c r="B42" s="50" t="s">
        <v>558</v>
      </c>
      <c r="C42" s="51" t="e">
        <f>+#REF!/1000</f>
        <v>#REF!</v>
      </c>
      <c r="D42" s="21"/>
      <c r="E42" s="55"/>
      <c r="F42" s="55"/>
      <c r="G42" s="55"/>
      <c r="H42" s="55"/>
      <c r="I42" s="21"/>
      <c r="J42" s="55"/>
      <c r="K42" s="55"/>
      <c r="L42" s="55"/>
      <c r="M42" s="55"/>
      <c r="N42" s="21"/>
      <c r="O42" s="230">
        <v>0</v>
      </c>
      <c r="P42" s="230">
        <v>0</v>
      </c>
      <c r="Q42" s="230">
        <v>0</v>
      </c>
      <c r="R42" s="230">
        <v>-0.15414289000000003</v>
      </c>
      <c r="S42" s="21"/>
      <c r="T42" s="230">
        <v>0</v>
      </c>
      <c r="U42" s="230">
        <v>0</v>
      </c>
      <c r="V42" s="230">
        <v>0</v>
      </c>
      <c r="W42" s="230">
        <v>1.10881E-2</v>
      </c>
      <c r="X42" s="21"/>
      <c r="Y42" s="51">
        <f t="shared" si="21"/>
        <v>0</v>
      </c>
      <c r="Z42" s="51">
        <f t="shared" si="22"/>
        <v>0</v>
      </c>
      <c r="AA42" s="51">
        <f t="shared" si="22"/>
        <v>0</v>
      </c>
      <c r="AB42" s="51">
        <f t="shared" si="22"/>
        <v>0</v>
      </c>
      <c r="AC42" s="21"/>
      <c r="AD42" s="51">
        <f t="shared" si="23"/>
        <v>0</v>
      </c>
      <c r="AE42" s="51">
        <f t="shared" si="24"/>
        <v>0</v>
      </c>
      <c r="AF42" s="51">
        <f t="shared" si="24"/>
        <v>0</v>
      </c>
      <c r="AG42" s="51">
        <f t="shared" si="24"/>
        <v>0</v>
      </c>
      <c r="AH42" s="21"/>
      <c r="AI42" s="51">
        <f t="shared" si="25"/>
        <v>0</v>
      </c>
      <c r="AJ42" s="51">
        <f t="shared" si="26"/>
        <v>0</v>
      </c>
      <c r="AK42" s="51">
        <f t="shared" si="26"/>
        <v>0</v>
      </c>
      <c r="AL42" s="51">
        <f t="shared" si="26"/>
        <v>-0.15414289000000003</v>
      </c>
      <c r="AM42" s="21"/>
      <c r="AN42" s="51">
        <f t="shared" si="27"/>
        <v>0</v>
      </c>
      <c r="AO42" s="51">
        <f t="shared" si="28"/>
        <v>0</v>
      </c>
      <c r="AP42" s="51">
        <f t="shared" si="28"/>
        <v>0</v>
      </c>
      <c r="AQ42" s="51">
        <f t="shared" si="28"/>
        <v>1.10881E-2</v>
      </c>
      <c r="AR42" s="21"/>
    </row>
    <row r="43" spans="2:44" s="14" customFormat="1">
      <c r="B43" s="39" t="s">
        <v>489</v>
      </c>
      <c r="C43" s="40" t="e">
        <f>+#REF!/1000</f>
        <v>#REF!</v>
      </c>
      <c r="D43" s="21"/>
      <c r="E43" s="40">
        <v>-0.8585080313000002</v>
      </c>
      <c r="F43" s="40">
        <v>-118.0825095706</v>
      </c>
      <c r="G43" s="40">
        <v>-137.93060947000001</v>
      </c>
      <c r="H43" s="40" t="e">
        <f t="shared" ref="H43" si="30">+H39+H40+H41+H42</f>
        <v>#REF!</v>
      </c>
      <c r="I43" s="21"/>
      <c r="J43" s="40">
        <f t="shared" ref="J43:K43" si="31">+J39+J40+J41+J42</f>
        <v>-28.070827977200004</v>
      </c>
      <c r="K43" s="40">
        <f t="shared" si="31"/>
        <v>-44.381845937000001</v>
      </c>
      <c r="L43" s="40">
        <f>+L39+L40+L41+L42</f>
        <v>-64.317496689999999</v>
      </c>
      <c r="M43" s="40">
        <v>-94.901159974999985</v>
      </c>
      <c r="N43" s="21"/>
      <c r="O43" s="40">
        <f t="shared" ref="O43:R43" si="32">+O39+O40+O41+O42</f>
        <v>-1.2954448256</v>
      </c>
      <c r="P43" s="40">
        <f t="shared" si="32"/>
        <v>-24.060398892400201</v>
      </c>
      <c r="Q43" s="40">
        <f t="shared" si="32"/>
        <v>-28.773440365257997</v>
      </c>
      <c r="R43" s="40">
        <f t="shared" si="32"/>
        <v>-30.598808830227998</v>
      </c>
      <c r="S43" s="21"/>
      <c r="T43" s="40">
        <v>2.9076555832000004</v>
      </c>
      <c r="U43" s="40">
        <v>1.4619099562</v>
      </c>
      <c r="V43" s="40">
        <v>28.0232509818</v>
      </c>
      <c r="W43" s="40">
        <v>31.102722201399999</v>
      </c>
      <c r="X43" s="21"/>
      <c r="Y43" s="40">
        <f t="shared" si="21"/>
        <v>-0.8585080313000002</v>
      </c>
      <c r="Z43" s="40">
        <f t="shared" si="22"/>
        <v>-117.22400153929999</v>
      </c>
      <c r="AA43" s="40">
        <f t="shared" si="22"/>
        <v>-19.848099899400012</v>
      </c>
      <c r="AB43" s="40" t="e">
        <f t="shared" si="22"/>
        <v>#REF!</v>
      </c>
      <c r="AC43" s="21"/>
      <c r="AD43" s="40">
        <f t="shared" si="23"/>
        <v>-28.070827977200004</v>
      </c>
      <c r="AE43" s="40">
        <f t="shared" si="24"/>
        <v>-16.311017959799997</v>
      </c>
      <c r="AF43" s="40">
        <f t="shared" si="24"/>
        <v>-19.935650752999997</v>
      </c>
      <c r="AG43" s="40">
        <f t="shared" si="24"/>
        <v>-30.583663284999986</v>
      </c>
      <c r="AH43" s="21"/>
      <c r="AI43" s="40">
        <f t="shared" si="25"/>
        <v>-1.2954448256</v>
      </c>
      <c r="AJ43" s="40">
        <f t="shared" si="26"/>
        <v>-22.7649540668002</v>
      </c>
      <c r="AK43" s="40">
        <f t="shared" si="26"/>
        <v>-4.7130414728577961</v>
      </c>
      <c r="AL43" s="40">
        <f t="shared" si="26"/>
        <v>-1.8253684649700013</v>
      </c>
      <c r="AM43" s="21"/>
      <c r="AN43" s="40">
        <f t="shared" si="27"/>
        <v>2.9076555832000004</v>
      </c>
      <c r="AO43" s="40">
        <f t="shared" si="28"/>
        <v>-1.4457456270000004</v>
      </c>
      <c r="AP43" s="40">
        <f t="shared" si="28"/>
        <v>26.561341025600001</v>
      </c>
      <c r="AQ43" s="40">
        <f t="shared" si="28"/>
        <v>3.0794712195999985</v>
      </c>
      <c r="AR43" s="21"/>
    </row>
    <row r="44" spans="2:44" s="14" customFormat="1" ht="15.75">
      <c r="B44" s="42" t="s">
        <v>535</v>
      </c>
      <c r="C44" s="43" t="e">
        <f>+C38+C43</f>
        <v>#REF!</v>
      </c>
      <c r="D44" s="23"/>
      <c r="E44" s="43">
        <v>-178.352793630907</v>
      </c>
      <c r="F44" s="43">
        <v>-421.01222543312298</v>
      </c>
      <c r="G44" s="43">
        <v>-533.31464242318805</v>
      </c>
      <c r="H44" s="43" t="e">
        <f>+H38+H43</f>
        <v>#REF!</v>
      </c>
      <c r="I44" s="23"/>
      <c r="J44" s="43">
        <f>+J38+J43</f>
        <v>-186.749108711302</v>
      </c>
      <c r="K44" s="43">
        <f>+K38+K43</f>
        <v>-397.78633325797495</v>
      </c>
      <c r="L44" s="43">
        <f>+L38+L43</f>
        <v>-581.93547354564703</v>
      </c>
      <c r="M44" s="43">
        <v>-853.57692127556993</v>
      </c>
      <c r="N44" s="23"/>
      <c r="O44" s="43">
        <f>+O38+O43</f>
        <v>-202.67041929808801</v>
      </c>
      <c r="P44" s="43">
        <f>+P38+P43</f>
        <v>-349.7073214637042</v>
      </c>
      <c r="Q44" s="43">
        <f>+Q38+Q43</f>
        <v>-448.22860139334102</v>
      </c>
      <c r="R44" s="43">
        <f>+R38+R43</f>
        <v>-631.06210493967296</v>
      </c>
      <c r="S44" s="23"/>
      <c r="T44" s="43">
        <f t="shared" ref="T44:W44" si="33">+T38+T43</f>
        <v>-145.95574884227196</v>
      </c>
      <c r="U44" s="43">
        <f t="shared" si="33"/>
        <v>-349.85170854023602</v>
      </c>
      <c r="V44" s="43">
        <f t="shared" si="33"/>
        <v>-407.84699040071098</v>
      </c>
      <c r="W44" s="43">
        <f t="shared" si="33"/>
        <v>-519.98190857841905</v>
      </c>
      <c r="X44" s="23"/>
      <c r="Y44" s="43">
        <f t="shared" si="21"/>
        <v>-178.352793630907</v>
      </c>
      <c r="Z44" s="43">
        <f t="shared" si="22"/>
        <v>-242.65943180221598</v>
      </c>
      <c r="AA44" s="43">
        <f t="shared" si="22"/>
        <v>-112.30241699006507</v>
      </c>
      <c r="AB44" s="43" t="e">
        <f t="shared" si="22"/>
        <v>#REF!</v>
      </c>
      <c r="AC44" s="23"/>
      <c r="AD44" s="43">
        <f t="shared" si="23"/>
        <v>-186.749108711302</v>
      </c>
      <c r="AE44" s="43">
        <f t="shared" si="24"/>
        <v>-211.03722454667295</v>
      </c>
      <c r="AF44" s="43">
        <f t="shared" si="24"/>
        <v>-184.14914028767208</v>
      </c>
      <c r="AG44" s="43">
        <f>+M44-L44</f>
        <v>-271.6414477299229</v>
      </c>
      <c r="AH44" s="23"/>
      <c r="AI44" s="43">
        <f t="shared" si="25"/>
        <v>-202.67041929808801</v>
      </c>
      <c r="AJ44" s="43">
        <f t="shared" si="26"/>
        <v>-147.0369021656162</v>
      </c>
      <c r="AK44" s="43">
        <f t="shared" si="26"/>
        <v>-98.521279929636819</v>
      </c>
      <c r="AL44" s="43">
        <f t="shared" si="26"/>
        <v>-182.83350354633194</v>
      </c>
      <c r="AM44" s="23"/>
      <c r="AN44" s="43">
        <f t="shared" si="27"/>
        <v>-145.95574884227196</v>
      </c>
      <c r="AO44" s="43">
        <f t="shared" si="28"/>
        <v>-203.89595969796406</v>
      </c>
      <c r="AP44" s="43">
        <f t="shared" si="28"/>
        <v>-57.995281860474961</v>
      </c>
      <c r="AQ44" s="43">
        <f t="shared" si="28"/>
        <v>-112.13491817770807</v>
      </c>
      <c r="AR44" s="23"/>
    </row>
    <row r="45" spans="2:44" s="14" customFormat="1">
      <c r="B45" s="53" t="s">
        <v>602</v>
      </c>
      <c r="C45" s="46" t="e">
        <f>+#REF!/1000</f>
        <v>#REF!</v>
      </c>
      <c r="D45" s="21"/>
      <c r="E45" s="231">
        <v>-98.904334986650198</v>
      </c>
      <c r="F45" s="231">
        <v>-198.82714287305399</v>
      </c>
      <c r="G45" s="231">
        <v>-297.58979004145198</v>
      </c>
      <c r="H45" s="231" t="e">
        <f t="shared" ref="H45:H46" si="34">IF(AND($F$7=VALUE($C$4),H$8=$C$8),$C45,0)</f>
        <v>#REF!</v>
      </c>
      <c r="I45" s="21"/>
      <c r="J45" s="231">
        <v>-96.694317944358005</v>
      </c>
      <c r="K45" s="231">
        <v>-195.251246056177</v>
      </c>
      <c r="L45" s="231">
        <v>-292.10159050403502</v>
      </c>
      <c r="M45" s="231">
        <v>-406.22275484214703</v>
      </c>
      <c r="N45" s="21"/>
      <c r="O45" s="231">
        <v>-98.766833220625003</v>
      </c>
      <c r="P45" s="231">
        <v>-195.61281891727998</v>
      </c>
      <c r="Q45" s="231">
        <v>-289.47804069670497</v>
      </c>
      <c r="R45" s="231">
        <v>-402.39730754068398</v>
      </c>
      <c r="S45" s="21"/>
      <c r="T45" s="231">
        <v>-91.290132324775996</v>
      </c>
      <c r="U45" s="231">
        <v>-182.56919780933998</v>
      </c>
      <c r="V45" s="231">
        <v>-279.08322199228104</v>
      </c>
      <c r="W45" s="231">
        <v>-388.69488683676201</v>
      </c>
      <c r="X45" s="21"/>
      <c r="Y45" s="46">
        <f t="shared" si="21"/>
        <v>-98.904334986650198</v>
      </c>
      <c r="Z45" s="46">
        <f t="shared" si="22"/>
        <v>-99.922807886403788</v>
      </c>
      <c r="AA45" s="46">
        <f t="shared" si="22"/>
        <v>-98.76264716839799</v>
      </c>
      <c r="AB45" s="46" t="e">
        <f t="shared" si="22"/>
        <v>#REF!</v>
      </c>
      <c r="AC45" s="21"/>
      <c r="AD45" s="46">
        <f t="shared" si="23"/>
        <v>-96.694317944358005</v>
      </c>
      <c r="AE45" s="46">
        <f t="shared" si="24"/>
        <v>-98.556928111818991</v>
      </c>
      <c r="AF45" s="46">
        <f t="shared" si="24"/>
        <v>-96.850344447858021</v>
      </c>
      <c r="AG45" s="46">
        <f t="shared" si="24"/>
        <v>-114.12116433811201</v>
      </c>
      <c r="AH45" s="21"/>
      <c r="AI45" s="46">
        <f t="shared" si="25"/>
        <v>-98.766833220625003</v>
      </c>
      <c r="AJ45" s="46">
        <f t="shared" si="26"/>
        <v>-96.845985696654978</v>
      </c>
      <c r="AK45" s="46">
        <f t="shared" si="26"/>
        <v>-93.865221779424985</v>
      </c>
      <c r="AL45" s="46">
        <f t="shared" si="26"/>
        <v>-112.91926684397902</v>
      </c>
      <c r="AM45" s="21"/>
      <c r="AN45" s="46">
        <f t="shared" si="27"/>
        <v>-91.290132324775996</v>
      </c>
      <c r="AO45" s="46">
        <f t="shared" si="28"/>
        <v>-91.279065484563986</v>
      </c>
      <c r="AP45" s="46">
        <f t="shared" si="28"/>
        <v>-96.514024182941057</v>
      </c>
      <c r="AQ45" s="46">
        <f t="shared" si="28"/>
        <v>-109.61166484448097</v>
      </c>
      <c r="AR45" s="21"/>
    </row>
    <row r="46" spans="2:44" s="14" customFormat="1">
      <c r="B46" s="154" t="s">
        <v>43</v>
      </c>
      <c r="C46" s="40" t="e">
        <f>+#REF!/1000</f>
        <v>#REF!</v>
      </c>
      <c r="D46" s="21"/>
      <c r="E46" s="232">
        <v>-1.0800000000745101E-6</v>
      </c>
      <c r="F46" s="232">
        <v>-2.1600000001490097E-6</v>
      </c>
      <c r="G46" s="232">
        <v>-3.2400000002235205E-6</v>
      </c>
      <c r="H46" s="232" t="e">
        <f t="shared" si="34"/>
        <v>#REF!</v>
      </c>
      <c r="I46" s="21"/>
      <c r="J46" s="232">
        <v>-4.1778645999831501E-5</v>
      </c>
      <c r="K46" s="232">
        <v>0.18399882983999999</v>
      </c>
      <c r="L46" s="232">
        <v>-0.22549676000000002</v>
      </c>
      <c r="M46" s="232">
        <v>-0.225502329999999</v>
      </c>
      <c r="N46" s="21"/>
      <c r="O46" s="232">
        <v>-2.3240000000005198E-6</v>
      </c>
      <c r="P46" s="232">
        <v>5.0999999999999995E-6</v>
      </c>
      <c r="Q46" s="232">
        <v>3.00454250000039E-5</v>
      </c>
      <c r="R46" s="232">
        <v>-5.2282629999986998E-5</v>
      </c>
      <c r="S46" s="21"/>
      <c r="T46" s="232">
        <v>-1.71826458990001E-2</v>
      </c>
      <c r="U46" s="232">
        <v>1.9999999999999999E-6</v>
      </c>
      <c r="V46" s="232">
        <v>-5.9189520999999994</v>
      </c>
      <c r="W46" s="232">
        <v>-30.045312100000004</v>
      </c>
      <c r="X46" s="21"/>
      <c r="Y46" s="40">
        <f t="shared" si="21"/>
        <v>-1.0800000000745101E-6</v>
      </c>
      <c r="Z46" s="40">
        <f t="shared" si="22"/>
        <v>-1.0800000000744995E-6</v>
      </c>
      <c r="AA46" s="40">
        <f t="shared" si="22"/>
        <v>-1.0800000000745108E-6</v>
      </c>
      <c r="AB46" s="40" t="e">
        <f t="shared" si="22"/>
        <v>#REF!</v>
      </c>
      <c r="AC46" s="21"/>
      <c r="AD46" s="40">
        <f t="shared" si="23"/>
        <v>-4.1778645999831501E-5</v>
      </c>
      <c r="AE46" s="40">
        <f t="shared" si="24"/>
        <v>0.18404060848599982</v>
      </c>
      <c r="AF46" s="40">
        <f t="shared" si="24"/>
        <v>-0.40949558984000001</v>
      </c>
      <c r="AG46" s="40">
        <f t="shared" si="24"/>
        <v>-5.5699999989833326E-6</v>
      </c>
      <c r="AH46" s="21"/>
      <c r="AI46" s="40">
        <f t="shared" si="25"/>
        <v>-2.3240000000005198E-6</v>
      </c>
      <c r="AJ46" s="40">
        <f t="shared" si="26"/>
        <v>7.4240000000005188E-6</v>
      </c>
      <c r="AK46" s="40">
        <f t="shared" si="26"/>
        <v>2.4945425000003902E-5</v>
      </c>
      <c r="AL46" s="40">
        <f t="shared" si="26"/>
        <v>-8.2328054999990892E-5</v>
      </c>
      <c r="AM46" s="21"/>
      <c r="AN46" s="40">
        <f t="shared" si="27"/>
        <v>-1.71826458990001E-2</v>
      </c>
      <c r="AO46" s="40">
        <f t="shared" si="28"/>
        <v>1.7184645899000098E-2</v>
      </c>
      <c r="AP46" s="40">
        <f t="shared" si="28"/>
        <v>-5.9189540999999997</v>
      </c>
      <c r="AQ46" s="40">
        <f t="shared" si="28"/>
        <v>-24.126360000000005</v>
      </c>
      <c r="AR46" s="21"/>
    </row>
    <row r="47" spans="2:44" s="14" customFormat="1" ht="15.75">
      <c r="B47" s="42" t="s">
        <v>534</v>
      </c>
      <c r="C47" s="43" t="e">
        <f>+C44+C45+C46</f>
        <v>#REF!</v>
      </c>
      <c r="D47" s="23"/>
      <c r="E47" s="43">
        <v>-277.25712969755722</v>
      </c>
      <c r="F47" s="43">
        <v>-619.839370466177</v>
      </c>
      <c r="G47" s="43">
        <v>-830.90443570463992</v>
      </c>
      <c r="H47" s="43" t="e">
        <f>+H44+H45+H46</f>
        <v>#REF!</v>
      </c>
      <c r="I47" s="23"/>
      <c r="J47" s="43">
        <f>+J44+J45+J46</f>
        <v>-283.443468434306</v>
      </c>
      <c r="K47" s="43">
        <f>+K44+K45+K46</f>
        <v>-592.85358048431192</v>
      </c>
      <c r="L47" s="43">
        <f>+L44+L45+L46</f>
        <v>-874.2625608096821</v>
      </c>
      <c r="M47" s="43">
        <v>-1260.0251784477168</v>
      </c>
      <c r="N47" s="23"/>
      <c r="O47" s="43">
        <f>+O44+O45+O46</f>
        <v>-301.437254842713</v>
      </c>
      <c r="P47" s="43">
        <f>+P44+P45+P46</f>
        <v>-545.32013528098423</v>
      </c>
      <c r="Q47" s="43">
        <f>+Q44+Q45+Q46</f>
        <v>-737.70661204462101</v>
      </c>
      <c r="R47" s="43">
        <f>+R44+R45+R46</f>
        <v>-1033.459464762987</v>
      </c>
      <c r="S47" s="23"/>
      <c r="T47" s="43">
        <f t="shared" ref="T47:W47" si="35">+T44+T45+T46</f>
        <v>-237.26306381294697</v>
      </c>
      <c r="U47" s="43">
        <f t="shared" si="35"/>
        <v>-532.42090434957595</v>
      </c>
      <c r="V47" s="43">
        <f t="shared" si="35"/>
        <v>-692.84916449299192</v>
      </c>
      <c r="W47" s="43">
        <f t="shared" si="35"/>
        <v>-938.72210751518105</v>
      </c>
      <c r="X47" s="23"/>
      <c r="Y47" s="43">
        <f t="shared" si="21"/>
        <v>-277.25712969755722</v>
      </c>
      <c r="Z47" s="43">
        <f t="shared" si="22"/>
        <v>-342.58224076861978</v>
      </c>
      <c r="AA47" s="43">
        <f t="shared" si="22"/>
        <v>-211.06506523846292</v>
      </c>
      <c r="AB47" s="43" t="e">
        <f t="shared" si="22"/>
        <v>#REF!</v>
      </c>
      <c r="AC47" s="23"/>
      <c r="AD47" s="43">
        <f t="shared" si="23"/>
        <v>-283.443468434306</v>
      </c>
      <c r="AE47" s="43">
        <f t="shared" si="24"/>
        <v>-309.41011205000592</v>
      </c>
      <c r="AF47" s="43">
        <f t="shared" si="24"/>
        <v>-281.40898032537018</v>
      </c>
      <c r="AG47" s="43">
        <f t="shared" si="24"/>
        <v>-385.76261763803473</v>
      </c>
      <c r="AH47" s="23"/>
      <c r="AI47" s="43">
        <f t="shared" si="25"/>
        <v>-301.437254842713</v>
      </c>
      <c r="AJ47" s="43">
        <f t="shared" si="26"/>
        <v>-243.88288043827123</v>
      </c>
      <c r="AK47" s="43">
        <f t="shared" si="26"/>
        <v>-192.38647676363678</v>
      </c>
      <c r="AL47" s="43">
        <f t="shared" si="26"/>
        <v>-295.75285271836594</v>
      </c>
      <c r="AM47" s="23"/>
      <c r="AN47" s="43">
        <f t="shared" si="27"/>
        <v>-237.26306381294697</v>
      </c>
      <c r="AO47" s="43">
        <f t="shared" si="28"/>
        <v>-295.15784053662901</v>
      </c>
      <c r="AP47" s="43">
        <f t="shared" si="28"/>
        <v>-160.42826014341597</v>
      </c>
      <c r="AQ47" s="43">
        <f t="shared" si="28"/>
        <v>-245.87294302218913</v>
      </c>
      <c r="AR47" s="23"/>
    </row>
    <row r="48" spans="2:44" s="14" customFormat="1">
      <c r="B48" s="45" t="s">
        <v>490</v>
      </c>
      <c r="C48" s="46" t="e">
        <f>#REF!/1000</f>
        <v>#REF!</v>
      </c>
      <c r="D48" s="21"/>
      <c r="E48" s="231">
        <v>-42.071078999999997</v>
      </c>
      <c r="F48" s="231">
        <v>-42.071078999999997</v>
      </c>
      <c r="G48" s="231">
        <v>-42.071078999999997</v>
      </c>
      <c r="H48" s="231" t="e">
        <f t="shared" ref="H48:H49" si="36">IF(AND($F$7=VALUE($C$4),H$8=$C$8),$C48,0)</f>
        <v>#REF!</v>
      </c>
      <c r="I48" s="21"/>
      <c r="J48" s="231">
        <v>0</v>
      </c>
      <c r="K48" s="231">
        <v>7.0348620000000004</v>
      </c>
      <c r="L48" s="231">
        <v>6.3457309100000003</v>
      </c>
      <c r="M48" s="231">
        <v>6.3457309100000003</v>
      </c>
      <c r="N48" s="21"/>
      <c r="O48" s="231">
        <v>0</v>
      </c>
      <c r="P48" s="231">
        <v>-2.7179999999702001E-5</v>
      </c>
      <c r="Q48" s="231">
        <v>3.7282000000029805E-4</v>
      </c>
      <c r="R48" s="231">
        <v>-2.7179999999702001E-5</v>
      </c>
      <c r="S48" s="21"/>
      <c r="T48" s="231">
        <v>3.9999999999999998E-6</v>
      </c>
      <c r="U48" s="231">
        <v>-4.0699999999999997E-4</v>
      </c>
      <c r="V48" s="231">
        <v>-3.6209999999403994E-4</v>
      </c>
      <c r="W48" s="231">
        <v>-4.1109999999404E-4</v>
      </c>
      <c r="X48" s="21"/>
      <c r="Y48" s="46">
        <f t="shared" si="21"/>
        <v>-42.071078999999997</v>
      </c>
      <c r="Z48" s="46">
        <f t="shared" si="22"/>
        <v>0</v>
      </c>
      <c r="AA48" s="46">
        <f t="shared" si="22"/>
        <v>0</v>
      </c>
      <c r="AB48" s="46" t="e">
        <f t="shared" si="22"/>
        <v>#REF!</v>
      </c>
      <c r="AC48" s="21"/>
      <c r="AD48" s="46">
        <f t="shared" si="23"/>
        <v>0</v>
      </c>
      <c r="AE48" s="46">
        <f t="shared" si="24"/>
        <v>7.0348620000000004</v>
      </c>
      <c r="AF48" s="46">
        <f t="shared" si="24"/>
        <v>-0.68913109000000006</v>
      </c>
      <c r="AG48" s="46">
        <f t="shared" si="24"/>
        <v>0</v>
      </c>
      <c r="AH48" s="21"/>
      <c r="AI48" s="46">
        <f t="shared" si="25"/>
        <v>0</v>
      </c>
      <c r="AJ48" s="46">
        <f t="shared" si="26"/>
        <v>-2.7179999999702001E-5</v>
      </c>
      <c r="AK48" s="46">
        <f t="shared" si="26"/>
        <v>4.0000000000000007E-4</v>
      </c>
      <c r="AL48" s="46">
        <f t="shared" si="26"/>
        <v>-4.0000000000000007E-4</v>
      </c>
      <c r="AM48" s="21"/>
      <c r="AN48" s="46">
        <f t="shared" si="27"/>
        <v>3.9999999999999998E-6</v>
      </c>
      <c r="AO48" s="46">
        <f t="shared" si="28"/>
        <v>-4.1099999999999996E-4</v>
      </c>
      <c r="AP48" s="46">
        <f t="shared" si="28"/>
        <v>4.4900000005960029E-5</v>
      </c>
      <c r="AQ48" s="46">
        <f t="shared" si="28"/>
        <v>-4.9000000000000053E-5</v>
      </c>
      <c r="AR48" s="21"/>
    </row>
    <row r="49" spans="2:44" s="14" customFormat="1">
      <c r="B49" s="39" t="s">
        <v>416</v>
      </c>
      <c r="C49" s="40" t="e">
        <f>#REF!/1000</f>
        <v>#REF!</v>
      </c>
      <c r="D49" s="21"/>
      <c r="E49" s="232">
        <v>-252.26506626951101</v>
      </c>
      <c r="F49" s="232">
        <v>-352.24586338663005</v>
      </c>
      <c r="G49" s="232">
        <v>-480.47972597720297</v>
      </c>
      <c r="H49" s="232" t="e">
        <f t="shared" si="36"/>
        <v>#REF!</v>
      </c>
      <c r="I49" s="21"/>
      <c r="J49" s="232">
        <v>-91.185893488125402</v>
      </c>
      <c r="K49" s="232">
        <v>-28.058988920893</v>
      </c>
      <c r="L49" s="232">
        <v>-385.51498523819703</v>
      </c>
      <c r="M49" s="232">
        <v>-576.72780332606999</v>
      </c>
      <c r="N49" s="21"/>
      <c r="O49" s="232">
        <v>803.11113522960704</v>
      </c>
      <c r="P49" s="232">
        <v>275.711481412029</v>
      </c>
      <c r="Q49" s="232">
        <v>101.56870375779501</v>
      </c>
      <c r="R49" s="232">
        <v>-56.294061585468803</v>
      </c>
      <c r="S49" s="21"/>
      <c r="T49" s="232">
        <v>-73.186477955946899</v>
      </c>
      <c r="U49" s="232">
        <v>313.77003280336896</v>
      </c>
      <c r="V49" s="232">
        <v>125.34504937455901</v>
      </c>
      <c r="W49" s="232">
        <v>-78.234750143295599</v>
      </c>
      <c r="X49" s="21"/>
      <c r="Y49" s="40">
        <f t="shared" si="21"/>
        <v>-252.26506626951101</v>
      </c>
      <c r="Z49" s="40">
        <f t="shared" si="22"/>
        <v>-99.980797117119039</v>
      </c>
      <c r="AA49" s="40">
        <f t="shared" si="22"/>
        <v>-128.23386259057293</v>
      </c>
      <c r="AB49" s="40" t="e">
        <f t="shared" si="22"/>
        <v>#REF!</v>
      </c>
      <c r="AC49" s="21"/>
      <c r="AD49" s="40">
        <f t="shared" si="23"/>
        <v>-91.185893488125402</v>
      </c>
      <c r="AE49" s="40">
        <f t="shared" si="24"/>
        <v>63.126904567232401</v>
      </c>
      <c r="AF49" s="40">
        <f t="shared" si="24"/>
        <v>-357.45599631730403</v>
      </c>
      <c r="AG49" s="40">
        <f t="shared" si="24"/>
        <v>-191.21281808787296</v>
      </c>
      <c r="AH49" s="21"/>
      <c r="AI49" s="40">
        <f t="shared" si="25"/>
        <v>803.11113522960704</v>
      </c>
      <c r="AJ49" s="40">
        <f t="shared" si="26"/>
        <v>-527.39965381757804</v>
      </c>
      <c r="AK49" s="40">
        <f t="shared" si="26"/>
        <v>-174.14277765423401</v>
      </c>
      <c r="AL49" s="40">
        <f t="shared" si="26"/>
        <v>-157.86276534326382</v>
      </c>
      <c r="AM49" s="21"/>
      <c r="AN49" s="40">
        <f t="shared" si="27"/>
        <v>-73.186477955946899</v>
      </c>
      <c r="AO49" s="40">
        <f t="shared" si="28"/>
        <v>386.95651075931585</v>
      </c>
      <c r="AP49" s="40">
        <f t="shared" si="28"/>
        <v>-188.42498342880995</v>
      </c>
      <c r="AQ49" s="40">
        <f t="shared" si="28"/>
        <v>-203.57979951785461</v>
      </c>
      <c r="AR49" s="21"/>
    </row>
    <row r="50" spans="2:44" s="14" customFormat="1" ht="15.75">
      <c r="B50" s="42" t="s">
        <v>491</v>
      </c>
      <c r="C50" s="43" t="e">
        <f>SUM(C47:C49)</f>
        <v>#REF!</v>
      </c>
      <c r="D50" s="23"/>
      <c r="E50" s="43">
        <v>-571.59327496706828</v>
      </c>
      <c r="F50" s="43">
        <v>-1014.156312852807</v>
      </c>
      <c r="G50" s="43">
        <v>-1353.455240681843</v>
      </c>
      <c r="H50" s="43" t="e">
        <f>SUM(H47:H49)</f>
        <v>#REF!</v>
      </c>
      <c r="I50" s="23"/>
      <c r="J50" s="43">
        <f>SUM(J47:J49)</f>
        <v>-374.62936192243137</v>
      </c>
      <c r="K50" s="43">
        <f>SUM(K47:K49)</f>
        <v>-613.877707405205</v>
      </c>
      <c r="L50" s="43">
        <f>SUM(L47:L49)</f>
        <v>-1253.4318151378791</v>
      </c>
      <c r="M50" s="43">
        <v>-1830.4072508637869</v>
      </c>
      <c r="N50" s="23"/>
      <c r="O50" s="43">
        <f>SUM(O47:O49)</f>
        <v>501.67388038689404</v>
      </c>
      <c r="P50" s="43">
        <f>SUM(P47:P49)</f>
        <v>-269.60868104895519</v>
      </c>
      <c r="Q50" s="43">
        <f>SUM(Q47:Q49)</f>
        <v>-636.13753546682597</v>
      </c>
      <c r="R50" s="43">
        <f>SUM(R47:R49)</f>
        <v>-1089.7535535284558</v>
      </c>
      <c r="S50" s="23"/>
      <c r="T50" s="43">
        <f t="shared" ref="T50:W50" si="37">SUM(T47:T49)</f>
        <v>-310.44953776889389</v>
      </c>
      <c r="U50" s="43">
        <f t="shared" si="37"/>
        <v>-218.65127854620698</v>
      </c>
      <c r="V50" s="43">
        <f t="shared" si="37"/>
        <v>-567.50447721843284</v>
      </c>
      <c r="W50" s="43">
        <f t="shared" si="37"/>
        <v>-1016.9572687584766</v>
      </c>
      <c r="X50" s="23"/>
      <c r="Y50" s="43">
        <f t="shared" si="21"/>
        <v>-571.59327496706828</v>
      </c>
      <c r="Z50" s="43">
        <f t="shared" si="22"/>
        <v>-442.56303788573871</v>
      </c>
      <c r="AA50" s="43">
        <f t="shared" si="22"/>
        <v>-339.29892782903596</v>
      </c>
      <c r="AB50" s="43" t="e">
        <f t="shared" si="22"/>
        <v>#REF!</v>
      </c>
      <c r="AC50" s="23"/>
      <c r="AD50" s="43">
        <f t="shared" si="23"/>
        <v>-374.62936192243137</v>
      </c>
      <c r="AE50" s="43">
        <f t="shared" si="24"/>
        <v>-239.24834548277363</v>
      </c>
      <c r="AF50" s="43">
        <f t="shared" si="24"/>
        <v>-639.55410773267408</v>
      </c>
      <c r="AG50" s="43">
        <f t="shared" si="24"/>
        <v>-576.9754357259078</v>
      </c>
      <c r="AH50" s="23"/>
      <c r="AI50" s="43">
        <f t="shared" si="25"/>
        <v>501.67388038689404</v>
      </c>
      <c r="AJ50" s="43">
        <f t="shared" si="26"/>
        <v>-771.28256143584917</v>
      </c>
      <c r="AK50" s="43">
        <f t="shared" si="26"/>
        <v>-366.52885441787078</v>
      </c>
      <c r="AL50" s="43">
        <f t="shared" si="26"/>
        <v>-453.6160180616298</v>
      </c>
      <c r="AM50" s="23"/>
      <c r="AN50" s="43">
        <f t="shared" si="27"/>
        <v>-310.44953776889389</v>
      </c>
      <c r="AO50" s="43">
        <f t="shared" si="28"/>
        <v>91.798259222686909</v>
      </c>
      <c r="AP50" s="43">
        <f t="shared" si="28"/>
        <v>-348.85319867222586</v>
      </c>
      <c r="AQ50" s="43">
        <f t="shared" si="28"/>
        <v>-449.45279154004379</v>
      </c>
      <c r="AR50" s="23"/>
    </row>
    <row r="51" spans="2:44" s="14" customFormat="1">
      <c r="B51" s="18"/>
      <c r="C51" s="18"/>
      <c r="D51" s="21"/>
      <c r="E51" s="247"/>
      <c r="F51" s="247"/>
      <c r="G51" s="247"/>
      <c r="H51" s="247"/>
      <c r="I51" s="21"/>
      <c r="J51" s="247"/>
      <c r="K51" s="247"/>
      <c r="L51" s="247"/>
      <c r="M51" s="247"/>
      <c r="N51" s="21"/>
      <c r="O51" s="247"/>
      <c r="P51" s="247"/>
      <c r="Q51" s="247"/>
      <c r="R51" s="247"/>
      <c r="S51" s="21"/>
      <c r="T51" s="18"/>
      <c r="U51" s="18"/>
      <c r="V51" s="18"/>
      <c r="W51" s="18"/>
      <c r="X51" s="21"/>
      <c r="Y51" s="18"/>
      <c r="Z51" s="18"/>
      <c r="AA51" s="18"/>
      <c r="AB51" s="18"/>
      <c r="AC51" s="21"/>
      <c r="AD51" s="18"/>
      <c r="AE51" s="18"/>
      <c r="AF51" s="18"/>
      <c r="AG51" s="18"/>
      <c r="AH51" s="21"/>
      <c r="AI51" s="18"/>
      <c r="AJ51" s="18"/>
      <c r="AK51" s="18"/>
      <c r="AL51" s="18"/>
      <c r="AM51" s="21"/>
      <c r="AN51" s="18"/>
      <c r="AO51" s="18"/>
      <c r="AP51" s="18"/>
      <c r="AQ51" s="18"/>
      <c r="AR51" s="21"/>
    </row>
    <row r="52" spans="2:44" s="14" customFormat="1">
      <c r="B52" s="48" t="s">
        <v>492</v>
      </c>
      <c r="C52" s="54" t="str">
        <f>IF(ISERROR(C38/C37*100)," ",C38/C37*100)</f>
        <v xml:space="preserve"> </v>
      </c>
      <c r="D52" s="21"/>
      <c r="E52" s="250">
        <v>-28.130803318849008</v>
      </c>
      <c r="F52" s="250">
        <v>-24.307509047142613</v>
      </c>
      <c r="G52" s="250">
        <v>-21.271587351643166</v>
      </c>
      <c r="H52" s="250" t="str">
        <f>IF(ISERROR(H38/H37*100)," ",H38/H37*100)</f>
        <v xml:space="preserve"> </v>
      </c>
      <c r="I52" s="21"/>
      <c r="J52" s="250">
        <f>IF(ISERROR(J38/J37*100)," ",J38/J37*100)</f>
        <v>-30.039126961394263</v>
      </c>
      <c r="K52" s="250">
        <f>IF(ISERROR(K38/K37*100)," ",K38/K37*100)</f>
        <v>-32.77081717761164</v>
      </c>
      <c r="L52" s="250">
        <f>IF(ISERROR(L38/L37*100)," ",L38/L37*100)</f>
        <v>-32.146592895092446</v>
      </c>
      <c r="M52" s="250">
        <v>-33.812951480749817</v>
      </c>
      <c r="N52" s="21"/>
      <c r="O52" s="250">
        <f>IF(ISERROR(O38/O37*100)," ",O38/O37*100)</f>
        <v>-36.736338720582204</v>
      </c>
      <c r="P52" s="250">
        <f>IF(ISERROR(P38/P37*100)," ",P38/P37*100)</f>
        <v>-29.18356564824316</v>
      </c>
      <c r="Q52" s="250">
        <f>IF(ISERROR(Q38/Q37*100)," ",Q38/Q37*100)</f>
        <v>-25.376582692868332</v>
      </c>
      <c r="R52" s="250">
        <f>IF(ISERROR(R38/R37*100)," ",R38/R37*100)</f>
        <v>-26.902026944086689</v>
      </c>
      <c r="S52" s="21"/>
      <c r="T52" s="250">
        <f t="shared" ref="T52:W52" si="38">IF(ISERROR(T38/T37*100)," ",T38/T37*100)</f>
        <v>-26.559429360552873</v>
      </c>
      <c r="U52" s="250">
        <f t="shared" si="38"/>
        <v>-30.730330219883189</v>
      </c>
      <c r="V52" s="250">
        <f t="shared" si="38"/>
        <v>-25.820688531095591</v>
      </c>
      <c r="W52" s="250">
        <f t="shared" si="38"/>
        <v>-24.433292010548548</v>
      </c>
      <c r="X52" s="21"/>
      <c r="Y52" s="54">
        <f>IF(ISERROR(Y38/Y37*100)," ",Y38/Y37*100)</f>
        <v>-28.130803318849008</v>
      </c>
      <c r="Z52" s="54">
        <f>IF(ISERROR(Z38/Z37*100)," ",Z38/Z37*100)</f>
        <v>-20.386768266332201</v>
      </c>
      <c r="AA52" s="54">
        <f>IF(ISERROR(AA38/AA37*100)," ",AA38/AA37*100)</f>
        <v>-15.094502209908867</v>
      </c>
      <c r="AB52" s="54" t="str">
        <f>IF(ISERROR(AB38/AB37*100)," ",AB38/AB37*100)</f>
        <v xml:space="preserve"> </v>
      </c>
      <c r="AC52" s="21"/>
      <c r="AD52" s="54">
        <f>IF(ISERROR(AD38/AD37*100)," ",AD38/AD37*100)</f>
        <v>-30.039126961394263</v>
      </c>
      <c r="AE52" s="54">
        <f>IF(ISERROR(AE38/AE37*100)," ",AE38/AE37*100)</f>
        <v>-35.393597594838312</v>
      </c>
      <c r="AF52" s="54">
        <f>IF(ISERROR(AF38/AF37*100)," ",AF38/AF37*100)</f>
        <v>-30.880680983855346</v>
      </c>
      <c r="AG52" s="54">
        <f>IF(ISERROR(AG38/AG37*100)," ",AG38/AG37*100)</f>
        <v>-38.047946739122757</v>
      </c>
      <c r="AH52" s="21"/>
      <c r="AI52" s="54">
        <f>IF(ISERROR(AI38/AI37*100)," ",AI38/AI37*100)</f>
        <v>-36.736338720582204</v>
      </c>
      <c r="AJ52" s="54">
        <f>IF(ISERROR(AJ38/AJ37*100)," ",AJ38/AJ37*100)</f>
        <v>-21.890644655250011</v>
      </c>
      <c r="AK52" s="54">
        <f>IF(ISERROR(AK38/AK37*100)," ",AK38/AK37*100)</f>
        <v>-17.466832940535959</v>
      </c>
      <c r="AL52" s="54">
        <f>IF(ISERROR(AL38/AL37*100)," ",AL38/AL37*100)</f>
        <v>-31.255980340680487</v>
      </c>
      <c r="AM52" s="21"/>
      <c r="AN52" s="54">
        <f>IF(ISERROR(AN38/AN37*100)," ",AN38/AN37*100)</f>
        <v>-26.559429360552873</v>
      </c>
      <c r="AO52" s="54">
        <f>IF(ISERROR(AO38/AO37*100)," ",AO38/AO37*100)</f>
        <v>-34.742109368582639</v>
      </c>
      <c r="AP52" s="54">
        <f>IF(ISERROR(AP38/AP37*100)," ",AP38/AP37*100)</f>
        <v>-15.51921035660154</v>
      </c>
      <c r="AQ52" s="54">
        <f>IF(ISERROR(AQ38/AQ37*100)," ",AQ38/AQ37*100)</f>
        <v>-20.30566460694952</v>
      </c>
      <c r="AR52" s="21"/>
    </row>
    <row r="53" spans="2:44" s="14" customFormat="1">
      <c r="B53" s="50" t="s">
        <v>503</v>
      </c>
      <c r="C53" s="155" t="str">
        <f>IF(ISERROR(C44/C37*100)," ",C44/C37*100)</f>
        <v xml:space="preserve"> </v>
      </c>
      <c r="D53" s="21"/>
      <c r="E53" s="251">
        <v>-28.266866970107234</v>
      </c>
      <c r="F53" s="251">
        <v>-33.782616702144914</v>
      </c>
      <c r="G53" s="251">
        <v>-28.692228458194531</v>
      </c>
      <c r="H53" s="251" t="str">
        <f>IF(ISERROR(H44/H37*100)," ",H44/H37*100)</f>
        <v xml:space="preserve"> </v>
      </c>
      <c r="I53" s="21"/>
      <c r="J53" s="251">
        <f>IF(ISERROR(J44/J37*100)," ",J44/J37*100)</f>
        <v>-35.353169700057165</v>
      </c>
      <c r="K53" s="251">
        <f>IF(ISERROR(K44/K37*100)," ",K44/K37*100)</f>
        <v>-36.886297912539</v>
      </c>
      <c r="L53" s="251">
        <f>IF(ISERROR(L44/L37*100)," ",L44/L37*100)</f>
        <v>-36.141022135523357</v>
      </c>
      <c r="M53" s="251">
        <v>-38.042542672909001</v>
      </c>
      <c r="N53" s="21"/>
      <c r="O53" s="251">
        <f>IF(ISERROR(O44/O37*100)," ",O44/O37*100)</f>
        <v>-36.972663517303992</v>
      </c>
      <c r="P53" s="251">
        <f>IF(ISERROR(P44/P37*100)," ",P44/P37*100)</f>
        <v>-31.339791246983562</v>
      </c>
      <c r="Q53" s="251">
        <f>IF(ISERROR(Q44/Q37*100)," ",Q44/Q37*100)</f>
        <v>-27.117344654165077</v>
      </c>
      <c r="R53" s="251">
        <f>IF(ISERROR(R44/R37*100)," ",R44/R37*100)</f>
        <v>-28.272918362332035</v>
      </c>
      <c r="S53" s="21"/>
      <c r="T53" s="251">
        <f t="shared" ref="T53:W53" si="39">IF(ISERROR(T44/T37*100)," ",T44/T37*100)</f>
        <v>-26.040660672137712</v>
      </c>
      <c r="U53" s="251">
        <f t="shared" si="39"/>
        <v>-30.602453094316491</v>
      </c>
      <c r="V53" s="251">
        <f t="shared" si="39"/>
        <v>-24.160608152736433</v>
      </c>
      <c r="W53" s="251">
        <f t="shared" si="39"/>
        <v>-23.054298927772113</v>
      </c>
      <c r="X53" s="21"/>
      <c r="Y53" s="155">
        <f>IF(ISERROR(Y44/Y37*100)," ",Y44/Y37*100)</f>
        <v>-28.266866970107234</v>
      </c>
      <c r="Z53" s="155">
        <f>IF(ISERROR(Z44/Z37*100)," ",Z44/Z37*100)</f>
        <v>-39.438949533018615</v>
      </c>
      <c r="AA53" s="155">
        <f>IF(ISERROR(AA44/AA37*100)," ",AA44/AA37*100)</f>
        <v>-18.334991104550603</v>
      </c>
      <c r="AB53" s="155" t="str">
        <f>IF(ISERROR(AB44/AB37*100)," ",AB44/AB37*100)</f>
        <v xml:space="preserve"> </v>
      </c>
      <c r="AC53" s="21"/>
      <c r="AD53" s="155">
        <f>IF(ISERROR(AD44/AD37*100)," ",AD44/AD37*100)</f>
        <v>-35.353169700057165</v>
      </c>
      <c r="AE53" s="155">
        <f>IF(ISERROR(AE44/AE37*100)," ",AE44/AE37*100)</f>
        <v>-38.358301812879908</v>
      </c>
      <c r="AF53" s="155">
        <f>IF(ISERROR(AF44/AF37*100)," ",AF44/AF37*100)</f>
        <v>-34.629620689438823</v>
      </c>
      <c r="AG53" s="155">
        <f>IF(ISERROR(AG44/AG37*100)," ",AG44/AG37*100)</f>
        <v>-42.875194257531824</v>
      </c>
      <c r="AH53" s="21"/>
      <c r="AI53" s="155">
        <f>IF(ISERROR(AI44/AI37*100)," ",AI44/AI37*100)</f>
        <v>-36.972663517303992</v>
      </c>
      <c r="AJ53" s="155">
        <f>IF(ISERROR(AJ44/AJ37*100)," ",AJ44/AJ37*100)</f>
        <v>-25.900717142994012</v>
      </c>
      <c r="AK53" s="155">
        <f>IF(ISERROR(AK44/AK37*100)," ",AK44/AK37*100)</f>
        <v>-18.34438814680021</v>
      </c>
      <c r="AL53" s="155">
        <f>IF(ISERROR(AL44/AL37*100)," ",AL44/AL37*100)</f>
        <v>-31.571179880358386</v>
      </c>
      <c r="AM53" s="21"/>
      <c r="AN53" s="155">
        <f>IF(ISERROR(AN44/AN37*100)," ",AN44/AN37*100)</f>
        <v>-26.040660672137712</v>
      </c>
      <c r="AO53" s="155">
        <f>IF(ISERROR(AO44/AO37*100)," ",AO44/AO37*100)</f>
        <v>-34.990211120032406</v>
      </c>
      <c r="AP53" s="155">
        <f>IF(ISERROR(AP44/AP37*100)," ",AP44/AP37*100)</f>
        <v>-10.644239897042171</v>
      </c>
      <c r="AQ53" s="155">
        <f>IF(ISERROR(AQ44/AQ37*100)," ",AQ44/AQ37*100)</f>
        <v>-19.762931098756216</v>
      </c>
      <c r="AR53" s="21"/>
    </row>
    <row r="54" spans="2:44" s="14" customFormat="1">
      <c r="B54" s="50" t="s">
        <v>493</v>
      </c>
      <c r="C54" s="155" t="str">
        <f>IF(ISERROR(C47/C37*100)," ",C47/C37*100)</f>
        <v xml:space="preserve"> </v>
      </c>
      <c r="D54" s="21"/>
      <c r="E54" s="251">
        <v>-43.942066968086451</v>
      </c>
      <c r="F54" s="251">
        <v>-49.736788160523169</v>
      </c>
      <c r="G54" s="251">
        <v>-44.702503924966628</v>
      </c>
      <c r="H54" s="251" t="str">
        <f>IF(ISERROR(H47/H37*100)," ",H47/H37*100)</f>
        <v xml:space="preserve"> </v>
      </c>
      <c r="I54" s="21"/>
      <c r="J54" s="251">
        <f>IF(ISERROR(J47/J37*100)," ",J47/J37*100)</f>
        <v>-53.658221498780158</v>
      </c>
      <c r="K54" s="251">
        <f>IF(ISERROR(K47/K37*100)," ",K47/K37*100)</f>
        <v>-54.974673486526392</v>
      </c>
      <c r="L54" s="251">
        <f>IF(ISERROR(L47/L37*100)," ",L47/L37*100)</f>
        <v>-54.295955477619806</v>
      </c>
      <c r="M54" s="251">
        <v>-56.157284042315133</v>
      </c>
      <c r="N54" s="21"/>
      <c r="O54" s="251">
        <f>IF(ISERROR(O47/O37*100)," ",O47/O37*100)</f>
        <v>-54.990453138045005</v>
      </c>
      <c r="P54" s="251">
        <f>IF(ISERROR(P47/P37*100)," ",P47/P37*100)</f>
        <v>-48.870064060859697</v>
      </c>
      <c r="Q54" s="251">
        <f>IF(ISERROR(Q47/Q37*100)," ",Q47/Q37*100)</f>
        <v>-44.630450601066052</v>
      </c>
      <c r="R54" s="251">
        <f>IF(ISERROR(R47/R37*100)," ",R47/R37*100)</f>
        <v>-46.301172023023788</v>
      </c>
      <c r="S54" s="21"/>
      <c r="T54" s="251">
        <f t="shared" ref="T54:W54" si="40">IF(ISERROR(T47/T37*100)," ",T47/T37*100)</f>
        <v>-42.331233841714109</v>
      </c>
      <c r="U54" s="251">
        <f t="shared" si="40"/>
        <v>-46.572262916125169</v>
      </c>
      <c r="V54" s="251">
        <f t="shared" si="40"/>
        <v>-41.043963952803082</v>
      </c>
      <c r="W54" s="251">
        <f t="shared" si="40"/>
        <v>-41.619871229614951</v>
      </c>
      <c r="X54" s="21"/>
      <c r="Y54" s="155">
        <f>IF(ISERROR(Y47/Y37*100)," ",Y47/Y37*100)</f>
        <v>-43.942066968086451</v>
      </c>
      <c r="Z54" s="155">
        <f>IF(ISERROR(Z47/Z37*100)," ",Z47/Z37*100)</f>
        <v>-55.679202758516652</v>
      </c>
      <c r="AA54" s="155">
        <f>IF(ISERROR(AA47/AA37*100)," ",AA47/AA37*100)</f>
        <v>-34.459419461746428</v>
      </c>
      <c r="AB54" s="155" t="str">
        <f>IF(ISERROR(AB47/AB37*100)," ",AB47/AB37*100)</f>
        <v xml:space="preserve"> </v>
      </c>
      <c r="AC54" s="21"/>
      <c r="AD54" s="155">
        <f>IF(ISERROR(AD47/AD37*100)," ",AD47/AD37*100)</f>
        <v>-53.658221498780158</v>
      </c>
      <c r="AE54" s="155">
        <f>IF(ISERROR(AE47/AE37*100)," ",AE47/AE37*100)</f>
        <v>-56.23863982984809</v>
      </c>
      <c r="AF54" s="155">
        <f>IF(ISERROR(AF47/AF37*100)," ",AF47/AF37*100)</f>
        <v>-52.919531592956936</v>
      </c>
      <c r="AG54" s="155">
        <f>IF(ISERROR(AG47/AG37*100)," ",AG47/AG37*100)</f>
        <v>-60.88778905702604</v>
      </c>
      <c r="AH54" s="21"/>
      <c r="AI54" s="155">
        <f>IF(ISERROR(AI47/AI37*100)," ",AI47/AI37*100)</f>
        <v>-54.990453138045005</v>
      </c>
      <c r="AJ54" s="155">
        <f>IF(ISERROR(AJ47/AJ37*100)," ",AJ47/AJ37*100)</f>
        <v>-42.960246096149234</v>
      </c>
      <c r="AK54" s="155">
        <f>IF(ISERROR(AK47/AK37*100)," ",AK47/AK37*100)</f>
        <v>-35.821826578664535</v>
      </c>
      <c r="AL54" s="155">
        <f>IF(ISERROR(AL47/AL37*100)," ",AL47/AL37*100)</f>
        <v>-51.069778416921871</v>
      </c>
      <c r="AM54" s="21"/>
      <c r="AN54" s="155">
        <f>IF(ISERROR(AN47/AN37*100)," ",AN47/AN37*100)</f>
        <v>-42.331233841714109</v>
      </c>
      <c r="AO54" s="155">
        <f>IF(ISERROR(AO47/AO37*100)," ",AO47/AO37*100)</f>
        <v>-50.651494857514976</v>
      </c>
      <c r="AP54" s="155">
        <f>IF(ISERROR(AP47/AP37*100)," ",AP47/AP37*100)</f>
        <v>-29.444410518425297</v>
      </c>
      <c r="AQ54" s="155">
        <f>IF(ISERROR(AQ47/AQ37*100)," ",AQ47/AQ37*100)</f>
        <v>-43.333246333628828</v>
      </c>
      <c r="AR54" s="21"/>
    </row>
    <row r="55" spans="2:44" s="14" customFormat="1">
      <c r="B55" s="50" t="s">
        <v>64</v>
      </c>
      <c r="C55" s="51" t="e">
        <f>#REF!/1000</f>
        <v>#REF!</v>
      </c>
      <c r="D55" s="59"/>
      <c r="E55" s="230">
        <v>142.0829276</v>
      </c>
      <c r="F55" s="230">
        <v>318.72341519999998</v>
      </c>
      <c r="G55" s="230">
        <v>407.69214590000001</v>
      </c>
      <c r="H55" s="230" t="e">
        <f t="shared" ref="H55:H56" si="41">IF(AND($F$7=VALUE($C$4),H$8=$C$8),$C55,0)</f>
        <v>#REF!</v>
      </c>
      <c r="I55" s="59"/>
      <c r="J55" s="230">
        <v>65.320238700000004</v>
      </c>
      <c r="K55" s="230">
        <v>175.74203530000003</v>
      </c>
      <c r="L55" s="230">
        <v>286.96712830000001</v>
      </c>
      <c r="M55" s="230">
        <v>456.29057991999997</v>
      </c>
      <c r="N55" s="59"/>
      <c r="O55" s="230">
        <v>52.875568399999999</v>
      </c>
      <c r="P55" s="230">
        <v>207.6058108</v>
      </c>
      <c r="Q55" s="230">
        <v>388.02824860000004</v>
      </c>
      <c r="R55" s="230">
        <v>482.2124781</v>
      </c>
      <c r="S55" s="59"/>
      <c r="T55" s="230">
        <v>39.483753400000005</v>
      </c>
      <c r="U55" s="230">
        <v>88.317591920000012</v>
      </c>
      <c r="V55" s="230">
        <v>124.72345750000001</v>
      </c>
      <c r="W55" s="230">
        <v>164.5423251</v>
      </c>
      <c r="X55" s="59"/>
      <c r="Y55" s="51">
        <f>+E55</f>
        <v>142.0829276</v>
      </c>
      <c r="Z55" s="51">
        <f t="shared" ref="Z55:AB56" si="42">+F55-E55</f>
        <v>176.64048759999997</v>
      </c>
      <c r="AA55" s="51">
        <f t="shared" si="42"/>
        <v>88.968730700000037</v>
      </c>
      <c r="AB55" s="51" t="e">
        <f t="shared" si="42"/>
        <v>#REF!</v>
      </c>
      <c r="AC55" s="59"/>
      <c r="AD55" s="51">
        <f>+J55</f>
        <v>65.320238700000004</v>
      </c>
      <c r="AE55" s="51">
        <f t="shared" ref="AE55:AG56" si="43">+K55-J55</f>
        <v>110.42179660000002</v>
      </c>
      <c r="AF55" s="51">
        <f t="shared" si="43"/>
        <v>111.22509299999999</v>
      </c>
      <c r="AG55" s="51">
        <f t="shared" si="43"/>
        <v>169.32345161999996</v>
      </c>
      <c r="AH55" s="59"/>
      <c r="AI55" s="51">
        <f>+O55</f>
        <v>52.875568399999999</v>
      </c>
      <c r="AJ55" s="51">
        <f t="shared" ref="AJ55:AL56" si="44">+P55-O55</f>
        <v>154.73024240000001</v>
      </c>
      <c r="AK55" s="51">
        <f t="shared" si="44"/>
        <v>180.42243780000004</v>
      </c>
      <c r="AL55" s="51">
        <f t="shared" si="44"/>
        <v>94.184229499999958</v>
      </c>
      <c r="AM55" s="59"/>
      <c r="AN55" s="51">
        <f>+T55</f>
        <v>39.483753400000005</v>
      </c>
      <c r="AO55" s="51">
        <f t="shared" ref="AO55:AQ56" si="45">+U55-T55</f>
        <v>48.833838520000008</v>
      </c>
      <c r="AP55" s="51">
        <f t="shared" si="45"/>
        <v>36.405865579999997</v>
      </c>
      <c r="AQ55" s="51">
        <f t="shared" si="45"/>
        <v>39.81886759999999</v>
      </c>
      <c r="AR55" s="59"/>
    </row>
    <row r="56" spans="2:44" s="14" customFormat="1">
      <c r="B56" s="50" t="s">
        <v>0</v>
      </c>
      <c r="C56" s="51" t="e">
        <f>#REF!/1000</f>
        <v>#REF!</v>
      </c>
      <c r="D56" s="65"/>
      <c r="E56" s="230">
        <v>4.8019999999999996</v>
      </c>
      <c r="F56" s="230">
        <v>19.169</v>
      </c>
      <c r="G56" s="230">
        <v>19.207000000000001</v>
      </c>
      <c r="H56" s="230" t="e">
        <f t="shared" si="41"/>
        <v>#REF!</v>
      </c>
      <c r="I56" s="65"/>
      <c r="J56" s="230">
        <v>0.222</v>
      </c>
      <c r="K56" s="230">
        <v>5.1420000000000003</v>
      </c>
      <c r="L56" s="230">
        <v>5224.5540000000001</v>
      </c>
      <c r="M56" s="230">
        <v>5841.0330000000004</v>
      </c>
      <c r="N56" s="65"/>
      <c r="O56" s="230">
        <v>2178.0649003000003</v>
      </c>
      <c r="P56" s="230">
        <v>6330.76224</v>
      </c>
      <c r="Q56" s="230">
        <v>6985.6428578000005</v>
      </c>
      <c r="R56" s="230">
        <v>6993.4579999999996</v>
      </c>
      <c r="S56" s="65"/>
      <c r="T56" s="230">
        <v>4</v>
      </c>
      <c r="U56" s="230">
        <v>4</v>
      </c>
      <c r="V56" s="230">
        <v>81.043999999999997</v>
      </c>
      <c r="W56" s="230">
        <v>325.849265</v>
      </c>
      <c r="X56" s="65"/>
      <c r="Y56" s="51">
        <f>+E56</f>
        <v>4.8019999999999996</v>
      </c>
      <c r="Z56" s="51">
        <f t="shared" si="42"/>
        <v>14.367000000000001</v>
      </c>
      <c r="AA56" s="51">
        <f t="shared" si="42"/>
        <v>3.8000000000000256E-2</v>
      </c>
      <c r="AB56" s="51" t="e">
        <f t="shared" si="42"/>
        <v>#REF!</v>
      </c>
      <c r="AC56" s="65"/>
      <c r="AD56" s="51">
        <f>+J56</f>
        <v>0.222</v>
      </c>
      <c r="AE56" s="51">
        <f t="shared" si="43"/>
        <v>4.92</v>
      </c>
      <c r="AF56" s="51">
        <f t="shared" si="43"/>
        <v>5219.4120000000003</v>
      </c>
      <c r="AG56" s="51">
        <f t="shared" si="43"/>
        <v>616.47900000000027</v>
      </c>
      <c r="AH56" s="65"/>
      <c r="AI56" s="51">
        <f>+O56</f>
        <v>2178.0649003000003</v>
      </c>
      <c r="AJ56" s="51">
        <f t="shared" si="44"/>
        <v>4152.6973397000002</v>
      </c>
      <c r="AK56" s="51">
        <f t="shared" si="44"/>
        <v>654.88061780000044</v>
      </c>
      <c r="AL56" s="51">
        <f t="shared" si="44"/>
        <v>7.8151421999991726</v>
      </c>
      <c r="AM56" s="65"/>
      <c r="AN56" s="51">
        <f>+T56</f>
        <v>4</v>
      </c>
      <c r="AO56" s="51">
        <f t="shared" si="45"/>
        <v>0</v>
      </c>
      <c r="AP56" s="51">
        <f t="shared" si="45"/>
        <v>77.043999999999997</v>
      </c>
      <c r="AQ56" s="51">
        <f t="shared" si="45"/>
        <v>244.80526500000002</v>
      </c>
      <c r="AR56" s="65"/>
    </row>
    <row r="57" spans="2:44">
      <c r="B57" s="16"/>
      <c r="C57" s="20"/>
      <c r="D57" s="65"/>
      <c r="E57" s="20"/>
      <c r="F57" s="20"/>
      <c r="G57" s="20"/>
      <c r="H57" s="20"/>
      <c r="I57" s="65"/>
      <c r="J57" s="20"/>
      <c r="K57" s="20"/>
      <c r="L57" s="20"/>
      <c r="M57" s="20"/>
      <c r="N57" s="65"/>
      <c r="O57" s="20"/>
      <c r="P57" s="20"/>
      <c r="Q57" s="20"/>
      <c r="R57" s="20"/>
      <c r="S57" s="65"/>
      <c r="T57" s="20"/>
      <c r="U57" s="20"/>
      <c r="V57" s="20"/>
      <c r="W57" s="20"/>
      <c r="X57" s="65"/>
      <c r="Y57" s="20"/>
      <c r="Z57" s="20"/>
      <c r="AA57" s="20"/>
      <c r="AB57" s="20"/>
      <c r="AC57" s="65"/>
      <c r="AD57" s="20"/>
      <c r="AE57" s="20"/>
      <c r="AF57" s="20"/>
      <c r="AG57" s="20"/>
      <c r="AH57" s="65"/>
      <c r="AI57" s="20"/>
      <c r="AJ57" s="20"/>
      <c r="AK57" s="20"/>
      <c r="AL57" s="20"/>
      <c r="AM57" s="65"/>
      <c r="AN57" s="20"/>
      <c r="AO57" s="20"/>
      <c r="AP57" s="20"/>
      <c r="AQ57" s="20"/>
      <c r="AR57" s="65"/>
    </row>
    <row r="58" spans="2:44">
      <c r="B58" s="25"/>
      <c r="C58" s="25"/>
      <c r="D58" s="21"/>
      <c r="E58" s="20"/>
      <c r="F58" s="20"/>
      <c r="G58" s="20"/>
      <c r="H58" s="20"/>
      <c r="I58" s="21"/>
      <c r="J58" s="20"/>
      <c r="K58" s="20"/>
      <c r="L58" s="20"/>
      <c r="M58" s="20"/>
      <c r="N58" s="21"/>
      <c r="O58" s="247">
        <v>4383322.75</v>
      </c>
      <c r="P58" s="256">
        <v>8709885.8399999999</v>
      </c>
      <c r="Q58" s="247">
        <v>12539083.789999999</v>
      </c>
      <c r="R58" s="247">
        <v>17642067.34</v>
      </c>
      <c r="S58" s="21"/>
      <c r="T58" s="18"/>
      <c r="U58" s="25"/>
      <c r="V58" s="18"/>
      <c r="W58" s="18"/>
      <c r="X58" s="21"/>
      <c r="Y58" s="14"/>
      <c r="Z58" s="14"/>
      <c r="AA58" s="14"/>
      <c r="AB58" s="14"/>
      <c r="AC58" s="21"/>
      <c r="AH58" s="21"/>
      <c r="AM58" s="21"/>
      <c r="AR58" s="21"/>
    </row>
    <row r="59" spans="2:44">
      <c r="B59" s="25"/>
      <c r="C59" s="25"/>
      <c r="D59" s="21"/>
      <c r="E59" s="247"/>
      <c r="F59" s="256"/>
      <c r="G59" s="247"/>
      <c r="H59" s="247"/>
      <c r="I59" s="21"/>
      <c r="J59" s="247"/>
      <c r="K59" s="256"/>
      <c r="L59" s="247"/>
      <c r="M59" s="247"/>
      <c r="N59" s="21"/>
      <c r="O59" s="247">
        <v>-49511638.579999998</v>
      </c>
      <c r="P59" s="257">
        <v>-86223979.170000002</v>
      </c>
      <c r="Q59" s="247">
        <v>-125395954.04000001</v>
      </c>
      <c r="R59" s="247">
        <v>-205978849.72999999</v>
      </c>
      <c r="S59" s="21"/>
      <c r="T59" s="18"/>
      <c r="U59" s="25"/>
      <c r="V59" s="18"/>
      <c r="W59" s="18"/>
      <c r="X59" s="21"/>
      <c r="Y59" s="14"/>
      <c r="Z59" s="14"/>
      <c r="AA59" s="14"/>
      <c r="AB59" s="14"/>
      <c r="AC59" s="21"/>
      <c r="AH59" s="21"/>
      <c r="AM59" s="21"/>
      <c r="AR59" s="21"/>
    </row>
    <row r="60" spans="2:44" ht="15.75">
      <c r="B60" s="33" t="s">
        <v>601</v>
      </c>
      <c r="C60" s="33"/>
      <c r="D60" s="17"/>
      <c r="E60" s="244"/>
      <c r="F60" s="575">
        <f>$F$7</f>
        <v>2014</v>
      </c>
      <c r="G60" s="575"/>
      <c r="H60" s="244"/>
      <c r="I60" s="17"/>
      <c r="J60" s="244"/>
      <c r="K60" s="575">
        <f>$K$7</f>
        <v>2013</v>
      </c>
      <c r="L60" s="575"/>
      <c r="M60" s="244"/>
      <c r="N60" s="17"/>
      <c r="O60" s="244"/>
      <c r="P60" s="575">
        <f>$P$7</f>
        <v>2012</v>
      </c>
      <c r="Q60" s="575"/>
      <c r="R60" s="244"/>
      <c r="S60" s="17"/>
      <c r="T60" s="36"/>
      <c r="U60" s="573">
        <f>$U$7</f>
        <v>2011</v>
      </c>
      <c r="V60" s="573"/>
      <c r="W60" s="36"/>
      <c r="X60" s="17"/>
      <c r="Y60" s="36"/>
      <c r="Z60" s="573">
        <f>$Z$7</f>
        <v>2014</v>
      </c>
      <c r="AA60" s="573"/>
      <c r="AB60" s="36"/>
      <c r="AC60" s="17"/>
      <c r="AD60" s="36"/>
      <c r="AE60" s="573">
        <f>$AE$7</f>
        <v>2013</v>
      </c>
      <c r="AF60" s="573"/>
      <c r="AG60" s="36"/>
      <c r="AH60" s="17"/>
      <c r="AI60" s="36"/>
      <c r="AJ60" s="573">
        <f>$AJ$7</f>
        <v>2012</v>
      </c>
      <c r="AK60" s="573"/>
      <c r="AL60" s="36"/>
      <c r="AM60" s="17"/>
      <c r="AN60" s="36"/>
      <c r="AO60" s="573">
        <f>$AO$7</f>
        <v>2011</v>
      </c>
      <c r="AP60" s="573"/>
      <c r="AQ60" s="36"/>
      <c r="AR60" s="17"/>
    </row>
    <row r="61" spans="2:44" ht="16.5" thickBot="1">
      <c r="B61" s="34" t="s">
        <v>67</v>
      </c>
      <c r="C61" s="35" t="e">
        <f>IF(RIGHT(#REF!,2)="12",RIGHT(#REF!,2)&amp;"M",RIGHT(#REF!,1)&amp;"M")</f>
        <v>#REF!</v>
      </c>
      <c r="E61" s="245" t="s">
        <v>528</v>
      </c>
      <c r="F61" s="245" t="s">
        <v>529</v>
      </c>
      <c r="G61" s="245" t="s">
        <v>530</v>
      </c>
      <c r="H61" s="245" t="s">
        <v>531</v>
      </c>
      <c r="J61" s="245" t="s">
        <v>528</v>
      </c>
      <c r="K61" s="245" t="s">
        <v>529</v>
      </c>
      <c r="L61" s="245" t="s">
        <v>530</v>
      </c>
      <c r="M61" s="245" t="s">
        <v>531</v>
      </c>
      <c r="O61" s="245" t="s">
        <v>528</v>
      </c>
      <c r="P61" s="245" t="s">
        <v>529</v>
      </c>
      <c r="Q61" s="245" t="s">
        <v>530</v>
      </c>
      <c r="R61" s="245" t="s">
        <v>531</v>
      </c>
      <c r="T61" s="35" t="s">
        <v>528</v>
      </c>
      <c r="U61" s="35" t="s">
        <v>529</v>
      </c>
      <c r="V61" s="35" t="s">
        <v>530</v>
      </c>
      <c r="W61" s="35" t="s">
        <v>531</v>
      </c>
      <c r="Y61" s="35" t="s">
        <v>510</v>
      </c>
      <c r="Z61" s="35" t="s">
        <v>511</v>
      </c>
      <c r="AA61" s="35" t="s">
        <v>513</v>
      </c>
      <c r="AB61" s="35" t="s">
        <v>514</v>
      </c>
      <c r="AD61" s="35" t="s">
        <v>510</v>
      </c>
      <c r="AE61" s="35" t="s">
        <v>511</v>
      </c>
      <c r="AF61" s="35" t="s">
        <v>513</v>
      </c>
      <c r="AG61" s="35" t="s">
        <v>514</v>
      </c>
      <c r="AI61" s="35" t="s">
        <v>510</v>
      </c>
      <c r="AJ61" s="35" t="s">
        <v>511</v>
      </c>
      <c r="AK61" s="35" t="s">
        <v>513</v>
      </c>
      <c r="AL61" s="35" t="s">
        <v>514</v>
      </c>
      <c r="AN61" s="35" t="s">
        <v>510</v>
      </c>
      <c r="AO61" s="35" t="s">
        <v>511</v>
      </c>
      <c r="AP61" s="35" t="s">
        <v>513</v>
      </c>
      <c r="AQ61" s="35" t="s">
        <v>514</v>
      </c>
    </row>
    <row r="62" spans="2:44" s="14" customFormat="1">
      <c r="B62" s="50" t="s">
        <v>371</v>
      </c>
      <c r="C62" s="227" t="e">
        <f>#REF!/1000</f>
        <v>#REF!</v>
      </c>
      <c r="D62" s="21"/>
      <c r="E62" s="230">
        <v>141.03699661524098</v>
      </c>
      <c r="F62" s="230">
        <v>307.86360533433196</v>
      </c>
      <c r="G62" s="230">
        <v>471.84319397549501</v>
      </c>
      <c r="H62" s="230" t="e">
        <f t="shared" ref="H62:H63" si="46">IF(AND($F$7=VALUE($C$4),H$8=$C$8),$C62,0)</f>
        <v>#REF!</v>
      </c>
      <c r="I62" s="21"/>
      <c r="J62" s="230">
        <v>119.40413113663</v>
      </c>
      <c r="K62" s="230">
        <v>243.53817186527999</v>
      </c>
      <c r="L62" s="230">
        <v>371.28007862249399</v>
      </c>
      <c r="M62" s="230">
        <v>521.252005490192</v>
      </c>
      <c r="N62" s="21"/>
      <c r="O62" s="230">
        <v>86.302323054519988</v>
      </c>
      <c r="P62" s="230">
        <v>176.61635694533902</v>
      </c>
      <c r="Q62" s="230">
        <v>275.30120176532006</v>
      </c>
      <c r="R62" s="230">
        <v>381.27163423597199</v>
      </c>
      <c r="S62" s="21"/>
      <c r="T62" s="230">
        <v>65.091994484169007</v>
      </c>
      <c r="U62" s="230">
        <v>132.54034418298002</v>
      </c>
      <c r="V62" s="230">
        <v>200.76447190153803</v>
      </c>
      <c r="W62" s="230">
        <v>294.70398092356595</v>
      </c>
      <c r="X62" s="21"/>
      <c r="Y62" s="51">
        <f t="shared" ref="Y62:Y77" si="47">+E62</f>
        <v>141.03699661524098</v>
      </c>
      <c r="Z62" s="51">
        <f t="shared" ref="Z62:AB77" si="48">+F62-E62</f>
        <v>166.82660871909098</v>
      </c>
      <c r="AA62" s="51">
        <f t="shared" si="48"/>
        <v>163.97958864116305</v>
      </c>
      <c r="AB62" s="51" t="e">
        <f t="shared" si="48"/>
        <v>#REF!</v>
      </c>
      <c r="AC62" s="21"/>
      <c r="AD62" s="51">
        <f t="shared" ref="AD62:AD77" si="49">+J62</f>
        <v>119.40413113663</v>
      </c>
      <c r="AE62" s="51">
        <f t="shared" ref="AE62:AG77" si="50">+K62-J62</f>
        <v>124.13404072864999</v>
      </c>
      <c r="AF62" s="51">
        <f t="shared" si="50"/>
        <v>127.741906757214</v>
      </c>
      <c r="AG62" s="51">
        <f t="shared" si="50"/>
        <v>149.97192686769802</v>
      </c>
      <c r="AH62" s="21"/>
      <c r="AI62" s="51">
        <f t="shared" ref="AI62:AI77" si="51">+O62</f>
        <v>86.302323054519988</v>
      </c>
      <c r="AJ62" s="51">
        <f t="shared" ref="AJ62:AL77" si="52">+P62-O62</f>
        <v>90.314033890819033</v>
      </c>
      <c r="AK62" s="51">
        <f t="shared" si="52"/>
        <v>98.684844819981038</v>
      </c>
      <c r="AL62" s="51">
        <f t="shared" si="52"/>
        <v>105.97043247065193</v>
      </c>
      <c r="AM62" s="21"/>
      <c r="AN62" s="51">
        <f t="shared" ref="AN62:AN77" si="53">+T62</f>
        <v>65.091994484169007</v>
      </c>
      <c r="AO62" s="51">
        <f t="shared" ref="AO62:AQ77" si="54">+U62-T62</f>
        <v>67.448349698811015</v>
      </c>
      <c r="AP62" s="51">
        <f t="shared" si="54"/>
        <v>68.224127718558009</v>
      </c>
      <c r="AQ62" s="51">
        <f t="shared" si="54"/>
        <v>93.93950902202792</v>
      </c>
      <c r="AR62" s="21"/>
    </row>
    <row r="63" spans="2:44" s="14" customFormat="1">
      <c r="B63" s="16" t="s">
        <v>372</v>
      </c>
      <c r="C63" s="19" t="e">
        <f>#REF!/1000</f>
        <v>#REF!</v>
      </c>
      <c r="D63" s="21"/>
      <c r="E63" s="233">
        <v>13.929460265299999</v>
      </c>
      <c r="F63" s="233">
        <v>29.945569373472001</v>
      </c>
      <c r="G63" s="233">
        <v>41.360550291400003</v>
      </c>
      <c r="H63" s="233" t="e">
        <f t="shared" si="46"/>
        <v>#REF!</v>
      </c>
      <c r="I63" s="21"/>
      <c r="J63" s="233">
        <v>2.6709732871930001</v>
      </c>
      <c r="K63" s="233">
        <v>19.249141932607998</v>
      </c>
      <c r="L63" s="233">
        <v>19.891123390604999</v>
      </c>
      <c r="M63" s="233">
        <v>35.153952659768002</v>
      </c>
      <c r="N63" s="21"/>
      <c r="O63" s="300">
        <f>19.972575013+O58/1000000</f>
        <v>24.355897763000002</v>
      </c>
      <c r="P63" s="300">
        <f>41.383237174+P58/1000000</f>
        <v>50.093123014</v>
      </c>
      <c r="Q63" s="300">
        <f>44.976651735+Q58/1000000</f>
        <v>57.515735524999997</v>
      </c>
      <c r="R63" s="300">
        <f>48.8388127628166+R58/1000000</f>
        <v>66.480880102816599</v>
      </c>
      <c r="S63" s="21"/>
      <c r="T63" s="300">
        <f>0.467729227977+6363502/1000000</f>
        <v>6.8312312279770007</v>
      </c>
      <c r="U63" s="300">
        <f>0.637115940772+8275455.91/1000000</f>
        <v>8.9125718507720002</v>
      </c>
      <c r="V63" s="300">
        <f>23.990804664636+13533948.28/1000000</f>
        <v>37.524752944635999</v>
      </c>
      <c r="W63" s="300">
        <f>48.906901956769+18169133.62/1000000</f>
        <v>67.076035576769002</v>
      </c>
      <c r="X63" s="21"/>
      <c r="Y63" s="19">
        <f t="shared" si="47"/>
        <v>13.929460265299999</v>
      </c>
      <c r="Z63" s="19">
        <f t="shared" si="48"/>
        <v>16.016109108172003</v>
      </c>
      <c r="AA63" s="19">
        <f t="shared" si="48"/>
        <v>11.414980917928002</v>
      </c>
      <c r="AB63" s="19" t="e">
        <f t="shared" si="48"/>
        <v>#REF!</v>
      </c>
      <c r="AC63" s="21"/>
      <c r="AD63" s="19">
        <f t="shared" si="49"/>
        <v>2.6709732871930001</v>
      </c>
      <c r="AE63" s="19">
        <f t="shared" si="50"/>
        <v>16.578168645414998</v>
      </c>
      <c r="AF63" s="19">
        <f t="shared" si="50"/>
        <v>0.64198145799700157</v>
      </c>
      <c r="AG63" s="19">
        <f t="shared" si="50"/>
        <v>15.262829269163003</v>
      </c>
      <c r="AH63" s="21"/>
      <c r="AI63" s="19">
        <f t="shared" si="51"/>
        <v>24.355897763000002</v>
      </c>
      <c r="AJ63" s="19">
        <f t="shared" si="52"/>
        <v>25.737225250999998</v>
      </c>
      <c r="AK63" s="19">
        <f t="shared" si="52"/>
        <v>7.422612510999997</v>
      </c>
      <c r="AL63" s="19">
        <f t="shared" si="52"/>
        <v>8.9651445778166021</v>
      </c>
      <c r="AM63" s="21"/>
      <c r="AN63" s="19">
        <f t="shared" si="53"/>
        <v>6.8312312279770007</v>
      </c>
      <c r="AO63" s="19">
        <f t="shared" si="54"/>
        <v>2.0813406227949995</v>
      </c>
      <c r="AP63" s="19">
        <f t="shared" si="54"/>
        <v>28.612181093863999</v>
      </c>
      <c r="AQ63" s="19">
        <f t="shared" si="54"/>
        <v>29.551282632133002</v>
      </c>
      <c r="AR63" s="21"/>
    </row>
    <row r="64" spans="2:44" ht="15.75">
      <c r="B64" s="42" t="s">
        <v>417</v>
      </c>
      <c r="C64" s="43" t="e">
        <f>+C62+C63</f>
        <v>#REF!</v>
      </c>
      <c r="D64" s="23"/>
      <c r="E64" s="43">
        <v>154.96645688054099</v>
      </c>
      <c r="F64" s="43">
        <v>337.80917470780395</v>
      </c>
      <c r="G64" s="43">
        <v>513.203744266895</v>
      </c>
      <c r="H64" s="43" t="e">
        <f>+H62+H63</f>
        <v>#REF!</v>
      </c>
      <c r="I64" s="23"/>
      <c r="J64" s="43">
        <f>+J62+J63</f>
        <v>122.07510442382301</v>
      </c>
      <c r="K64" s="43">
        <f>+K62+K63</f>
        <v>262.78731379788798</v>
      </c>
      <c r="L64" s="43">
        <f>+L62+L63</f>
        <v>391.17120201309899</v>
      </c>
      <c r="M64" s="43">
        <v>556.40595814996004</v>
      </c>
      <c r="N64" s="23"/>
      <c r="O64" s="43">
        <f>+O62+O63</f>
        <v>110.65822081751999</v>
      </c>
      <c r="P64" s="43">
        <f>+P62+P63</f>
        <v>226.70947995933903</v>
      </c>
      <c r="Q64" s="43">
        <f>+Q62+Q63</f>
        <v>332.81693729032008</v>
      </c>
      <c r="R64" s="43">
        <f>+R62+R63</f>
        <v>447.75251433878861</v>
      </c>
      <c r="S64" s="23"/>
      <c r="T64" s="43">
        <f>+T62+T63</f>
        <v>71.923225712146007</v>
      </c>
      <c r="U64" s="43">
        <f t="shared" ref="U64:W64" si="55">+U62+U63</f>
        <v>141.45291603375202</v>
      </c>
      <c r="V64" s="43">
        <f t="shared" si="55"/>
        <v>238.28922484617402</v>
      </c>
      <c r="W64" s="43">
        <f t="shared" si="55"/>
        <v>361.78001650033497</v>
      </c>
      <c r="X64" s="23"/>
      <c r="Y64" s="43">
        <f t="shared" si="47"/>
        <v>154.96645688054099</v>
      </c>
      <c r="Z64" s="43">
        <f t="shared" si="48"/>
        <v>182.84271782726296</v>
      </c>
      <c r="AA64" s="43">
        <f t="shared" si="48"/>
        <v>175.39456955909105</v>
      </c>
      <c r="AB64" s="43" t="e">
        <f t="shared" si="48"/>
        <v>#REF!</v>
      </c>
      <c r="AC64" s="23"/>
      <c r="AD64" s="43">
        <f t="shared" si="49"/>
        <v>122.07510442382301</v>
      </c>
      <c r="AE64" s="43">
        <f t="shared" si="50"/>
        <v>140.71220937406497</v>
      </c>
      <c r="AF64" s="43">
        <f t="shared" si="50"/>
        <v>128.38388821521102</v>
      </c>
      <c r="AG64" s="43">
        <f t="shared" si="50"/>
        <v>165.23475613686105</v>
      </c>
      <c r="AH64" s="23"/>
      <c r="AI64" s="43">
        <f t="shared" si="51"/>
        <v>110.65822081751999</v>
      </c>
      <c r="AJ64" s="43">
        <f t="shared" si="52"/>
        <v>116.05125914181905</v>
      </c>
      <c r="AK64" s="43">
        <f t="shared" si="52"/>
        <v>106.10745733098105</v>
      </c>
      <c r="AL64" s="43">
        <f t="shared" si="52"/>
        <v>114.93557704846853</v>
      </c>
      <c r="AM64" s="23"/>
      <c r="AN64" s="43">
        <f t="shared" si="53"/>
        <v>71.923225712146007</v>
      </c>
      <c r="AO64" s="43">
        <f t="shared" si="54"/>
        <v>69.529690321606012</v>
      </c>
      <c r="AP64" s="43">
        <f t="shared" si="54"/>
        <v>96.836308812422004</v>
      </c>
      <c r="AQ64" s="43">
        <f t="shared" si="54"/>
        <v>123.49079165416094</v>
      </c>
      <c r="AR64" s="23"/>
    </row>
    <row r="65" spans="2:44" s="14" customFormat="1" ht="15.75">
      <c r="B65" s="42" t="s">
        <v>486</v>
      </c>
      <c r="C65" s="43" t="e">
        <f>+#REF!/1000</f>
        <v>#REF!</v>
      </c>
      <c r="D65" s="23"/>
      <c r="E65" s="234">
        <v>-45.538553267183495</v>
      </c>
      <c r="F65" s="234">
        <v>-81.384535329298302</v>
      </c>
      <c r="G65" s="234">
        <v>-108.010699224966</v>
      </c>
      <c r="H65" s="234" t="e">
        <f t="shared" ref="H65:H68" si="56">IF(AND($F$7=VALUE($C$4),H$8=$C$8),$C65,0)</f>
        <v>#REF!</v>
      </c>
      <c r="I65" s="23"/>
      <c r="J65" s="234">
        <v>-70.812995223758989</v>
      </c>
      <c r="K65" s="234">
        <v>-159.46268745705598</v>
      </c>
      <c r="L65" s="234">
        <v>-208.52156979278101</v>
      </c>
      <c r="M65" s="234">
        <v>-263.147452310164</v>
      </c>
      <c r="N65" s="23"/>
      <c r="O65" s="301">
        <f>1.18417745491603+O59/1000000</f>
        <v>-48.327461125083964</v>
      </c>
      <c r="P65" s="301">
        <f>16.50732130429+P59/1000000</f>
        <v>-69.716657865710005</v>
      </c>
      <c r="Q65" s="301">
        <f>19.88913319926+Q59/1000000</f>
        <v>-105.50682084074</v>
      </c>
      <c r="R65" s="301">
        <f>26.6247076563841+R59/1000000</f>
        <v>-179.35414207361589</v>
      </c>
      <c r="S65" s="23"/>
      <c r="T65" s="301">
        <f>-6.920246087102+-24283498.87/1000000</f>
        <v>-31.203744957102003</v>
      </c>
      <c r="U65" s="301">
        <f>-23.610865130364+-56538471.51/1000000</f>
        <v>-80.149336640363998</v>
      </c>
      <c r="V65" s="301">
        <f>-16.682118818848+-75829669.14/1000000</f>
        <v>-92.511787958848004</v>
      </c>
      <c r="W65" s="301">
        <f>18.272313870308+-137707863.04/1000000</f>
        <v>-119.43554916969198</v>
      </c>
      <c r="X65" s="23"/>
      <c r="Y65" s="44">
        <f t="shared" si="47"/>
        <v>-45.538553267183495</v>
      </c>
      <c r="Z65" s="44">
        <f t="shared" si="48"/>
        <v>-35.845982062114807</v>
      </c>
      <c r="AA65" s="44">
        <f t="shared" si="48"/>
        <v>-26.626163895667702</v>
      </c>
      <c r="AB65" s="44" t="e">
        <f t="shared" si="48"/>
        <v>#REF!</v>
      </c>
      <c r="AC65" s="23"/>
      <c r="AD65" s="44">
        <f t="shared" si="49"/>
        <v>-70.812995223758989</v>
      </c>
      <c r="AE65" s="44">
        <f t="shared" si="50"/>
        <v>-88.649692233296989</v>
      </c>
      <c r="AF65" s="44">
        <f t="shared" si="50"/>
        <v>-49.058882335725031</v>
      </c>
      <c r="AG65" s="44">
        <f t="shared" si="50"/>
        <v>-54.62588251738299</v>
      </c>
      <c r="AH65" s="23"/>
      <c r="AI65" s="44">
        <f t="shared" si="51"/>
        <v>-48.327461125083964</v>
      </c>
      <c r="AJ65" s="44">
        <f t="shared" si="52"/>
        <v>-21.389196740626041</v>
      </c>
      <c r="AK65" s="44">
        <f t="shared" si="52"/>
        <v>-35.79016297503</v>
      </c>
      <c r="AL65" s="44">
        <f t="shared" si="52"/>
        <v>-73.847321232875885</v>
      </c>
      <c r="AM65" s="23"/>
      <c r="AN65" s="44">
        <f t="shared" si="53"/>
        <v>-31.203744957102003</v>
      </c>
      <c r="AO65" s="44">
        <f t="shared" si="54"/>
        <v>-48.945591683261995</v>
      </c>
      <c r="AP65" s="44">
        <f t="shared" si="54"/>
        <v>-12.362451318484005</v>
      </c>
      <c r="AQ65" s="44">
        <f t="shared" si="54"/>
        <v>-26.923761210843978</v>
      </c>
      <c r="AR65" s="23"/>
    </row>
    <row r="66" spans="2:44" s="14" customFormat="1">
      <c r="B66" s="50" t="s">
        <v>470</v>
      </c>
      <c r="C66" s="46" t="e">
        <f>SUM(#REF!)/1000</f>
        <v>#REF!</v>
      </c>
      <c r="D66" s="21"/>
      <c r="E66" s="231">
        <v>-0.55763699999999994</v>
      </c>
      <c r="F66" s="231">
        <v>6.2156932000000005</v>
      </c>
      <c r="G66" s="231">
        <v>6.2952842000000002</v>
      </c>
      <c r="H66" s="231" t="e">
        <f t="shared" si="56"/>
        <v>#REF!</v>
      </c>
      <c r="I66" s="21"/>
      <c r="J66" s="231">
        <v>0</v>
      </c>
      <c r="K66" s="231">
        <v>9.6436144399999986</v>
      </c>
      <c r="L66" s="231">
        <v>9.6436144399999986</v>
      </c>
      <c r="M66" s="231">
        <v>16.07361444</v>
      </c>
      <c r="N66" s="21"/>
      <c r="O66" s="231">
        <v>-0.10192</v>
      </c>
      <c r="P66" s="231">
        <v>-0.10192</v>
      </c>
      <c r="Q66" s="231">
        <v>-0.10192</v>
      </c>
      <c r="R66" s="231">
        <v>7.5221300324789997</v>
      </c>
      <c r="S66" s="21"/>
      <c r="T66" s="231">
        <v>-0.42799999999999999</v>
      </c>
      <c r="U66" s="231">
        <v>1.4870000000000001</v>
      </c>
      <c r="V66" s="231">
        <v>64.88113938725499</v>
      </c>
      <c r="W66" s="231">
        <v>54.773494007411003</v>
      </c>
      <c r="X66" s="21"/>
      <c r="Y66" s="46">
        <f t="shared" si="47"/>
        <v>-0.55763699999999994</v>
      </c>
      <c r="Z66" s="46">
        <f t="shared" si="48"/>
        <v>6.7733302000000002</v>
      </c>
      <c r="AA66" s="46">
        <f t="shared" si="48"/>
        <v>7.9590999999999745E-2</v>
      </c>
      <c r="AB66" s="46" t="e">
        <f t="shared" si="48"/>
        <v>#REF!</v>
      </c>
      <c r="AC66" s="21"/>
      <c r="AD66" s="46">
        <f t="shared" si="49"/>
        <v>0</v>
      </c>
      <c r="AE66" s="46">
        <f t="shared" si="50"/>
        <v>9.6436144399999986</v>
      </c>
      <c r="AF66" s="46">
        <f t="shared" si="50"/>
        <v>0</v>
      </c>
      <c r="AG66" s="46">
        <f t="shared" si="50"/>
        <v>6.4300000000000015</v>
      </c>
      <c r="AH66" s="21"/>
      <c r="AI66" s="46">
        <f t="shared" si="51"/>
        <v>-0.10192</v>
      </c>
      <c r="AJ66" s="46">
        <f t="shared" si="52"/>
        <v>0</v>
      </c>
      <c r="AK66" s="46">
        <f t="shared" si="52"/>
        <v>0</v>
      </c>
      <c r="AL66" s="46">
        <f t="shared" si="52"/>
        <v>7.6240500324789995</v>
      </c>
      <c r="AM66" s="21"/>
      <c r="AN66" s="46">
        <f t="shared" si="53"/>
        <v>-0.42799999999999999</v>
      </c>
      <c r="AO66" s="46">
        <f t="shared" si="54"/>
        <v>1.915</v>
      </c>
      <c r="AP66" s="46">
        <f t="shared" si="54"/>
        <v>63.394139387254988</v>
      </c>
      <c r="AQ66" s="46">
        <f t="shared" si="54"/>
        <v>-10.107645379843987</v>
      </c>
      <c r="AR66" s="21"/>
    </row>
    <row r="67" spans="2:44" s="14" customFormat="1">
      <c r="B67" s="50" t="s">
        <v>487</v>
      </c>
      <c r="C67" s="51" t="e">
        <f>+#REF!/1000</f>
        <v>#REF!</v>
      </c>
      <c r="D67" s="21"/>
      <c r="E67" s="230">
        <v>-6.9939585374999993</v>
      </c>
      <c r="F67" s="230">
        <v>-9.3394421867999995</v>
      </c>
      <c r="G67" s="230">
        <v>-11.797720684</v>
      </c>
      <c r="H67" s="230" t="e">
        <f t="shared" si="56"/>
        <v>#REF!</v>
      </c>
      <c r="I67" s="21"/>
      <c r="J67" s="230">
        <v>-2.6718203873000004</v>
      </c>
      <c r="K67" s="230">
        <v>-50.706677363600001</v>
      </c>
      <c r="L67" s="230">
        <v>-107.4504538035</v>
      </c>
      <c r="M67" s="230">
        <v>-99.902167615799996</v>
      </c>
      <c r="N67" s="21"/>
      <c r="O67" s="230">
        <v>-3.1400479999999997</v>
      </c>
      <c r="P67" s="230">
        <v>-3.1250255999999998</v>
      </c>
      <c r="Q67" s="230">
        <v>-3.1547040000000002</v>
      </c>
      <c r="R67" s="230">
        <v>-4.1942962000000001</v>
      </c>
      <c r="S67" s="21"/>
      <c r="T67" s="230">
        <v>1.1234932335900001</v>
      </c>
      <c r="U67" s="230">
        <v>2.1312104000000001</v>
      </c>
      <c r="V67" s="230">
        <v>1.9431109</v>
      </c>
      <c r="W67" s="230">
        <v>-3.3161991259320001</v>
      </c>
      <c r="X67" s="21"/>
      <c r="Y67" s="51">
        <f t="shared" si="47"/>
        <v>-6.9939585374999993</v>
      </c>
      <c r="Z67" s="51">
        <f t="shared" si="48"/>
        <v>-2.3454836493000002</v>
      </c>
      <c r="AA67" s="51">
        <f t="shared" si="48"/>
        <v>-2.4582784972000002</v>
      </c>
      <c r="AB67" s="51" t="e">
        <f t="shared" si="48"/>
        <v>#REF!</v>
      </c>
      <c r="AC67" s="21"/>
      <c r="AD67" s="51">
        <f t="shared" si="49"/>
        <v>-2.6718203873000004</v>
      </c>
      <c r="AE67" s="51">
        <f t="shared" si="50"/>
        <v>-48.034856976299999</v>
      </c>
      <c r="AF67" s="51">
        <f t="shared" si="50"/>
        <v>-56.743776439899996</v>
      </c>
      <c r="AG67" s="51">
        <f t="shared" si="50"/>
        <v>7.5482861877000005</v>
      </c>
      <c r="AH67" s="21"/>
      <c r="AI67" s="51">
        <f t="shared" si="51"/>
        <v>-3.1400479999999997</v>
      </c>
      <c r="AJ67" s="51">
        <f t="shared" si="52"/>
        <v>1.502239999999988E-2</v>
      </c>
      <c r="AK67" s="51">
        <f t="shared" si="52"/>
        <v>-2.9678400000000327E-2</v>
      </c>
      <c r="AL67" s="51">
        <f t="shared" si="52"/>
        <v>-1.0395922</v>
      </c>
      <c r="AM67" s="21"/>
      <c r="AN67" s="51">
        <f t="shared" si="53"/>
        <v>1.1234932335900001</v>
      </c>
      <c r="AO67" s="51">
        <f t="shared" si="54"/>
        <v>1.00771716641</v>
      </c>
      <c r="AP67" s="51">
        <f t="shared" si="54"/>
        <v>-0.18809950000000009</v>
      </c>
      <c r="AQ67" s="51">
        <f t="shared" si="54"/>
        <v>-5.2593100259319998</v>
      </c>
      <c r="AR67" s="21"/>
    </row>
    <row r="68" spans="2:44" s="14" customFormat="1">
      <c r="B68" s="50" t="s">
        <v>488</v>
      </c>
      <c r="C68" s="51" t="e">
        <f>+#REF!/1000</f>
        <v>#REF!</v>
      </c>
      <c r="D68" s="21"/>
      <c r="E68" s="230">
        <v>0</v>
      </c>
      <c r="F68" s="230">
        <v>0</v>
      </c>
      <c r="G68" s="230">
        <v>0</v>
      </c>
      <c r="H68" s="230" t="e">
        <f t="shared" si="56"/>
        <v>#REF!</v>
      </c>
      <c r="I68" s="21"/>
      <c r="J68" s="230">
        <v>0</v>
      </c>
      <c r="K68" s="230">
        <v>0</v>
      </c>
      <c r="L68" s="230">
        <v>0</v>
      </c>
      <c r="M68" s="230">
        <v>0</v>
      </c>
      <c r="N68" s="21"/>
      <c r="O68" s="230">
        <v>0</v>
      </c>
      <c r="P68" s="230">
        <v>0</v>
      </c>
      <c r="Q68" s="230">
        <v>0</v>
      </c>
      <c r="R68" s="230">
        <v>0</v>
      </c>
      <c r="S68" s="21"/>
      <c r="T68" s="230">
        <v>0</v>
      </c>
      <c r="U68" s="230">
        <v>0</v>
      </c>
      <c r="V68" s="230">
        <v>0</v>
      </c>
      <c r="W68" s="230">
        <v>0</v>
      </c>
      <c r="X68" s="21"/>
      <c r="Y68" s="51">
        <f t="shared" si="47"/>
        <v>0</v>
      </c>
      <c r="Z68" s="51">
        <f t="shared" si="48"/>
        <v>0</v>
      </c>
      <c r="AA68" s="51">
        <f t="shared" si="48"/>
        <v>0</v>
      </c>
      <c r="AB68" s="51" t="e">
        <f t="shared" si="48"/>
        <v>#REF!</v>
      </c>
      <c r="AC68" s="21"/>
      <c r="AD68" s="51">
        <f t="shared" si="49"/>
        <v>0</v>
      </c>
      <c r="AE68" s="51">
        <f t="shared" si="50"/>
        <v>0</v>
      </c>
      <c r="AF68" s="51">
        <f t="shared" si="50"/>
        <v>0</v>
      </c>
      <c r="AG68" s="51">
        <f t="shared" si="50"/>
        <v>0</v>
      </c>
      <c r="AH68" s="21"/>
      <c r="AI68" s="51">
        <f t="shared" si="51"/>
        <v>0</v>
      </c>
      <c r="AJ68" s="51">
        <f t="shared" si="52"/>
        <v>0</v>
      </c>
      <c r="AK68" s="51">
        <f t="shared" si="52"/>
        <v>0</v>
      </c>
      <c r="AL68" s="51">
        <f t="shared" si="52"/>
        <v>0</v>
      </c>
      <c r="AM68" s="21"/>
      <c r="AN68" s="51">
        <f t="shared" si="53"/>
        <v>0</v>
      </c>
      <c r="AO68" s="51">
        <f t="shared" si="54"/>
        <v>0</v>
      </c>
      <c r="AP68" s="51">
        <f t="shared" si="54"/>
        <v>0</v>
      </c>
      <c r="AQ68" s="51">
        <f t="shared" si="54"/>
        <v>0</v>
      </c>
      <c r="AR68" s="21"/>
    </row>
    <row r="69" spans="2:44" s="14" customFormat="1">
      <c r="B69" s="50" t="s">
        <v>558</v>
      </c>
      <c r="C69" s="51" t="e">
        <f>+#REF!/1000</f>
        <v>#REF!</v>
      </c>
      <c r="D69" s="21"/>
      <c r="E69" s="55"/>
      <c r="F69" s="55"/>
      <c r="G69" s="55"/>
      <c r="H69" s="55"/>
      <c r="I69" s="21"/>
      <c r="J69" s="55">
        <v>0</v>
      </c>
      <c r="K69" s="55"/>
      <c r="L69" s="55"/>
      <c r="M69" s="55"/>
      <c r="N69" s="21"/>
      <c r="O69" s="230">
        <v>0</v>
      </c>
      <c r="P69" s="230">
        <v>1.4231698275210001</v>
      </c>
      <c r="Q69" s="230">
        <v>1.4366856858900001</v>
      </c>
      <c r="R69" s="230">
        <v>1.4338490242570001</v>
      </c>
      <c r="S69" s="21"/>
      <c r="T69" s="230">
        <v>0</v>
      </c>
      <c r="U69" s="230">
        <v>0</v>
      </c>
      <c r="V69" s="230">
        <v>0</v>
      </c>
      <c r="W69" s="230">
        <v>0</v>
      </c>
      <c r="X69" s="21"/>
      <c r="Y69" s="51">
        <f t="shared" si="47"/>
        <v>0</v>
      </c>
      <c r="Z69" s="51">
        <f t="shared" si="48"/>
        <v>0</v>
      </c>
      <c r="AA69" s="51">
        <f t="shared" si="48"/>
        <v>0</v>
      </c>
      <c r="AB69" s="51">
        <f t="shared" si="48"/>
        <v>0</v>
      </c>
      <c r="AC69" s="21"/>
      <c r="AD69" s="51">
        <f t="shared" si="49"/>
        <v>0</v>
      </c>
      <c r="AE69" s="51">
        <f t="shared" si="50"/>
        <v>0</v>
      </c>
      <c r="AF69" s="51">
        <f t="shared" si="50"/>
        <v>0</v>
      </c>
      <c r="AG69" s="51">
        <f t="shared" si="50"/>
        <v>0</v>
      </c>
      <c r="AH69" s="21"/>
      <c r="AI69" s="51">
        <f t="shared" si="51"/>
        <v>0</v>
      </c>
      <c r="AJ69" s="51">
        <f t="shared" si="52"/>
        <v>1.4231698275210001</v>
      </c>
      <c r="AK69" s="51">
        <f t="shared" si="52"/>
        <v>1.3515858369000044E-2</v>
      </c>
      <c r="AL69" s="51">
        <f t="shared" si="52"/>
        <v>-2.8366616330000038E-3</v>
      </c>
      <c r="AM69" s="21"/>
      <c r="AN69" s="51">
        <f t="shared" si="53"/>
        <v>0</v>
      </c>
      <c r="AO69" s="51">
        <f t="shared" si="54"/>
        <v>0</v>
      </c>
      <c r="AP69" s="51">
        <f t="shared" si="54"/>
        <v>0</v>
      </c>
      <c r="AQ69" s="51">
        <f t="shared" si="54"/>
        <v>0</v>
      </c>
      <c r="AR69" s="21"/>
    </row>
    <row r="70" spans="2:44" s="14" customFormat="1">
      <c r="B70" s="39" t="s">
        <v>489</v>
      </c>
      <c r="C70" s="40" t="e">
        <f>+#REF!/1000</f>
        <v>#REF!</v>
      </c>
      <c r="D70" s="21"/>
      <c r="E70" s="40">
        <v>-7.551595537499999</v>
      </c>
      <c r="F70" s="40">
        <v>-3.123748986799999</v>
      </c>
      <c r="G70" s="40">
        <v>-5.5024364839999995</v>
      </c>
      <c r="H70" s="40" t="e">
        <f t="shared" ref="H70" si="57">+H66+H67+H68+H69</f>
        <v>#REF!</v>
      </c>
      <c r="I70" s="21"/>
      <c r="J70" s="40">
        <v>-2.6718203873000004</v>
      </c>
      <c r="K70" s="40">
        <f t="shared" ref="K70:L70" si="58">+K66+K67+K68+K69</f>
        <v>-41.0630629236</v>
      </c>
      <c r="L70" s="40">
        <f t="shared" si="58"/>
        <v>-97.806839363500004</v>
      </c>
      <c r="M70" s="40">
        <v>-83.828553175799996</v>
      </c>
      <c r="N70" s="21"/>
      <c r="O70" s="40">
        <f t="shared" ref="O70:W70" si="59">+O66+O67+O68+O69</f>
        <v>-3.2419679999999995</v>
      </c>
      <c r="P70" s="40">
        <f t="shared" si="59"/>
        <v>-1.8037757724789996</v>
      </c>
      <c r="Q70" s="40">
        <f t="shared" si="59"/>
        <v>-1.8199383141099998</v>
      </c>
      <c r="R70" s="40">
        <f t="shared" si="59"/>
        <v>4.7616828567359999</v>
      </c>
      <c r="S70" s="21"/>
      <c r="T70" s="40">
        <f t="shared" si="59"/>
        <v>0.69549323359000015</v>
      </c>
      <c r="U70" s="40">
        <f t="shared" si="59"/>
        <v>3.6182104000000002</v>
      </c>
      <c r="V70" s="40">
        <f t="shared" si="59"/>
        <v>66.824250287254984</v>
      </c>
      <c r="W70" s="40">
        <f t="shared" si="59"/>
        <v>51.457294881479001</v>
      </c>
      <c r="X70" s="21"/>
      <c r="Y70" s="40">
        <f t="shared" si="47"/>
        <v>-7.551595537499999</v>
      </c>
      <c r="Z70" s="40">
        <f t="shared" si="48"/>
        <v>4.4278465507</v>
      </c>
      <c r="AA70" s="40">
        <f t="shared" si="48"/>
        <v>-2.3786874972000005</v>
      </c>
      <c r="AB70" s="40" t="e">
        <f t="shared" si="48"/>
        <v>#REF!</v>
      </c>
      <c r="AC70" s="21"/>
      <c r="AD70" s="40">
        <f t="shared" si="49"/>
        <v>-2.6718203873000004</v>
      </c>
      <c r="AE70" s="40">
        <f t="shared" si="50"/>
        <v>-38.391242536299998</v>
      </c>
      <c r="AF70" s="40">
        <f t="shared" si="50"/>
        <v>-56.743776439900003</v>
      </c>
      <c r="AG70" s="40">
        <f t="shared" si="50"/>
        <v>13.978286187700007</v>
      </c>
      <c r="AH70" s="21"/>
      <c r="AI70" s="40">
        <f t="shared" si="51"/>
        <v>-3.2419679999999995</v>
      </c>
      <c r="AJ70" s="40">
        <f t="shared" si="52"/>
        <v>1.438192227521</v>
      </c>
      <c r="AK70" s="40">
        <f t="shared" si="52"/>
        <v>-1.6162541631000282E-2</v>
      </c>
      <c r="AL70" s="40">
        <f t="shared" si="52"/>
        <v>6.5816211708459997</v>
      </c>
      <c r="AM70" s="21"/>
      <c r="AN70" s="40">
        <f t="shared" si="53"/>
        <v>0.69549323359000015</v>
      </c>
      <c r="AO70" s="40">
        <f t="shared" si="54"/>
        <v>2.92271716641</v>
      </c>
      <c r="AP70" s="40">
        <f t="shared" si="54"/>
        <v>63.206039887254981</v>
      </c>
      <c r="AQ70" s="40">
        <f t="shared" si="54"/>
        <v>-15.366955405775983</v>
      </c>
      <c r="AR70" s="21"/>
    </row>
    <row r="71" spans="2:44" s="14" customFormat="1" ht="15.75">
      <c r="B71" s="42" t="s">
        <v>535</v>
      </c>
      <c r="C71" s="43" t="e">
        <f>+C65+C70</f>
        <v>#REF!</v>
      </c>
      <c r="D71" s="23"/>
      <c r="E71" s="43">
        <v>-53.090148804683494</v>
      </c>
      <c r="F71" s="43">
        <v>-84.508284316098297</v>
      </c>
      <c r="G71" s="43">
        <v>-113.513135708966</v>
      </c>
      <c r="H71" s="43" t="e">
        <f>+H65+H70</f>
        <v>#REF!</v>
      </c>
      <c r="I71" s="23"/>
      <c r="J71" s="43">
        <f>+J65+J70</f>
        <v>-73.484815611058991</v>
      </c>
      <c r="K71" s="43">
        <f>+K65+K70</f>
        <v>-200.52575038065598</v>
      </c>
      <c r="L71" s="43">
        <f>+L65+L70</f>
        <v>-306.328409156281</v>
      </c>
      <c r="M71" s="43">
        <v>-346.97600548596398</v>
      </c>
      <c r="N71" s="23"/>
      <c r="O71" s="43">
        <f>+O65+O70</f>
        <v>-51.569429125083964</v>
      </c>
      <c r="P71" s="43">
        <f>+P65+P70</f>
        <v>-71.520433638189004</v>
      </c>
      <c r="Q71" s="43">
        <f>+Q65+Q70</f>
        <v>-107.32675915485001</v>
      </c>
      <c r="R71" s="43">
        <f>+R65+R70</f>
        <v>-174.59245921687989</v>
      </c>
      <c r="S71" s="23"/>
      <c r="T71" s="43">
        <f>+T65+T70</f>
        <v>-30.508251723512004</v>
      </c>
      <c r="U71" s="43">
        <f t="shared" ref="U71:W71" si="60">+U65+U70</f>
        <v>-76.531126240364003</v>
      </c>
      <c r="V71" s="43">
        <f t="shared" si="60"/>
        <v>-25.68753767159302</v>
      </c>
      <c r="W71" s="43">
        <f t="shared" si="60"/>
        <v>-67.97825428821298</v>
      </c>
      <c r="X71" s="23"/>
      <c r="Y71" s="43">
        <f t="shared" si="47"/>
        <v>-53.090148804683494</v>
      </c>
      <c r="Z71" s="43">
        <f t="shared" si="48"/>
        <v>-31.418135511414803</v>
      </c>
      <c r="AA71" s="43">
        <f t="shared" si="48"/>
        <v>-29.004851392867707</v>
      </c>
      <c r="AB71" s="43" t="e">
        <f t="shared" si="48"/>
        <v>#REF!</v>
      </c>
      <c r="AC71" s="23"/>
      <c r="AD71" s="43">
        <f t="shared" si="49"/>
        <v>-73.484815611058991</v>
      </c>
      <c r="AE71" s="43">
        <f t="shared" si="50"/>
        <v>-127.04093476959699</v>
      </c>
      <c r="AF71" s="43">
        <f t="shared" si="50"/>
        <v>-105.80265877562502</v>
      </c>
      <c r="AG71" s="43">
        <f t="shared" si="50"/>
        <v>-40.647596329682983</v>
      </c>
      <c r="AH71" s="23"/>
      <c r="AI71" s="43">
        <f t="shared" si="51"/>
        <v>-51.569429125083964</v>
      </c>
      <c r="AJ71" s="43">
        <f t="shared" si="52"/>
        <v>-19.95100451310504</v>
      </c>
      <c r="AK71" s="43">
        <f t="shared" si="52"/>
        <v>-35.806325516661005</v>
      </c>
      <c r="AL71" s="43">
        <f t="shared" si="52"/>
        <v>-67.265700062029879</v>
      </c>
      <c r="AM71" s="23"/>
      <c r="AN71" s="43">
        <f t="shared" si="53"/>
        <v>-30.508251723512004</v>
      </c>
      <c r="AO71" s="43">
        <f t="shared" si="54"/>
        <v>-46.022874516851999</v>
      </c>
      <c r="AP71" s="43">
        <f t="shared" si="54"/>
        <v>50.843588568770983</v>
      </c>
      <c r="AQ71" s="43">
        <f t="shared" si="54"/>
        <v>-42.29071661661996</v>
      </c>
      <c r="AR71" s="23"/>
    </row>
    <row r="72" spans="2:44" s="14" customFormat="1">
      <c r="B72" s="53" t="s">
        <v>602</v>
      </c>
      <c r="C72" s="46" t="e">
        <f>+#REF!/1000</f>
        <v>#REF!</v>
      </c>
      <c r="D72" s="21"/>
      <c r="E72" s="231">
        <v>-1.495580186275</v>
      </c>
      <c r="F72" s="231">
        <v>-3.0211729097200002</v>
      </c>
      <c r="G72" s="231">
        <v>-4.2425724575199997</v>
      </c>
      <c r="H72" s="231" t="e">
        <f t="shared" ref="H72:H73" si="61">IF(AND($F$7=VALUE($C$4),H$8=$C$8),$C72,0)</f>
        <v>#REF!</v>
      </c>
      <c r="I72" s="21"/>
      <c r="J72" s="231">
        <v>-6.2557482413820003</v>
      </c>
      <c r="K72" s="231">
        <v>-12.969729028024</v>
      </c>
      <c r="L72" s="231">
        <v>-13.848170087971001</v>
      </c>
      <c r="M72" s="231">
        <v>-17.525993159400002</v>
      </c>
      <c r="N72" s="21"/>
      <c r="O72" s="231">
        <v>-2.4973908914399998</v>
      </c>
      <c r="P72" s="231">
        <v>-4.3426880861159995</v>
      </c>
      <c r="Q72" s="231">
        <v>-8.759979465759999</v>
      </c>
      <c r="R72" s="231">
        <v>-13.198937547144</v>
      </c>
      <c r="S72" s="21"/>
      <c r="T72" s="231">
        <v>-4.2721442508199994</v>
      </c>
      <c r="U72" s="231">
        <v>-8.3747777554800003</v>
      </c>
      <c r="V72" s="231">
        <v>-11.622657196324001</v>
      </c>
      <c r="W72" s="231">
        <v>-12.467156390354999</v>
      </c>
      <c r="X72" s="21"/>
      <c r="Y72" s="46">
        <f t="shared" si="47"/>
        <v>-1.495580186275</v>
      </c>
      <c r="Z72" s="46">
        <f t="shared" si="48"/>
        <v>-1.5255927234450002</v>
      </c>
      <c r="AA72" s="46">
        <f t="shared" si="48"/>
        <v>-1.2213995477999995</v>
      </c>
      <c r="AB72" s="46" t="e">
        <f t="shared" si="48"/>
        <v>#REF!</v>
      </c>
      <c r="AC72" s="21"/>
      <c r="AD72" s="46">
        <f t="shared" si="49"/>
        <v>-6.2557482413820003</v>
      </c>
      <c r="AE72" s="46">
        <f t="shared" si="50"/>
        <v>-6.7139807866419998</v>
      </c>
      <c r="AF72" s="46">
        <f t="shared" si="50"/>
        <v>-0.87844105994700072</v>
      </c>
      <c r="AG72" s="46">
        <f t="shared" si="50"/>
        <v>-3.6778230714290014</v>
      </c>
      <c r="AH72" s="21"/>
      <c r="AI72" s="46">
        <f t="shared" si="51"/>
        <v>-2.4973908914399998</v>
      </c>
      <c r="AJ72" s="46">
        <f t="shared" si="52"/>
        <v>-1.8452971946759997</v>
      </c>
      <c r="AK72" s="46">
        <f t="shared" si="52"/>
        <v>-4.4172913796439994</v>
      </c>
      <c r="AL72" s="46">
        <f t="shared" si="52"/>
        <v>-4.4389580813840013</v>
      </c>
      <c r="AM72" s="21"/>
      <c r="AN72" s="46">
        <f t="shared" si="53"/>
        <v>-4.2721442508199994</v>
      </c>
      <c r="AO72" s="46">
        <f t="shared" si="54"/>
        <v>-4.1026335046600009</v>
      </c>
      <c r="AP72" s="46">
        <f t="shared" si="54"/>
        <v>-3.2478794408440006</v>
      </c>
      <c r="AQ72" s="46">
        <f t="shared" si="54"/>
        <v>-0.84449919403099827</v>
      </c>
      <c r="AR72" s="21"/>
    </row>
    <row r="73" spans="2:44" s="14" customFormat="1">
      <c r="B73" s="154" t="s">
        <v>43</v>
      </c>
      <c r="C73" s="40" t="e">
        <f>+#REF!/1000</f>
        <v>#REF!</v>
      </c>
      <c r="D73" s="21"/>
      <c r="E73" s="232">
        <v>2.8366808925000001E-2</v>
      </c>
      <c r="F73" s="232">
        <v>-7.7716800000052899E-7</v>
      </c>
      <c r="G73" s="232">
        <v>-9.4007250824399993</v>
      </c>
      <c r="H73" s="232" t="e">
        <f t="shared" si="61"/>
        <v>#REF!</v>
      </c>
      <c r="I73" s="21"/>
      <c r="J73" s="232">
        <v>-2.1512593299999998</v>
      </c>
      <c r="K73" s="232">
        <v>0</v>
      </c>
      <c r="L73" s="232">
        <v>-122.03011395999999</v>
      </c>
      <c r="M73" s="232">
        <v>-146.634197611074</v>
      </c>
      <c r="N73" s="21"/>
      <c r="O73" s="232">
        <v>0</v>
      </c>
      <c r="P73" s="232">
        <v>0</v>
      </c>
      <c r="Q73" s="232">
        <v>0</v>
      </c>
      <c r="R73" s="232">
        <v>0</v>
      </c>
      <c r="S73" s="21"/>
      <c r="T73" s="232">
        <v>0</v>
      </c>
      <c r="U73" s="232">
        <v>0</v>
      </c>
      <c r="V73" s="232">
        <v>0</v>
      </c>
      <c r="W73" s="232">
        <v>-0.641062631223</v>
      </c>
      <c r="X73" s="21"/>
      <c r="Y73" s="40">
        <f t="shared" si="47"/>
        <v>2.8366808925000001E-2</v>
      </c>
      <c r="Z73" s="40">
        <f t="shared" si="48"/>
        <v>-2.8367586093E-2</v>
      </c>
      <c r="AA73" s="40">
        <f t="shared" si="48"/>
        <v>-9.400724305272</v>
      </c>
      <c r="AB73" s="40" t="e">
        <f t="shared" si="48"/>
        <v>#REF!</v>
      </c>
      <c r="AC73" s="21"/>
      <c r="AD73" s="40">
        <f t="shared" si="49"/>
        <v>-2.1512593299999998</v>
      </c>
      <c r="AE73" s="40">
        <f t="shared" si="50"/>
        <v>2.1512593299999998</v>
      </c>
      <c r="AF73" s="40">
        <f t="shared" si="50"/>
        <v>-122.03011395999999</v>
      </c>
      <c r="AG73" s="40">
        <f t="shared" si="50"/>
        <v>-24.604083651074006</v>
      </c>
      <c r="AH73" s="21"/>
      <c r="AI73" s="40">
        <f t="shared" si="51"/>
        <v>0</v>
      </c>
      <c r="AJ73" s="40">
        <f t="shared" si="52"/>
        <v>0</v>
      </c>
      <c r="AK73" s="40">
        <f t="shared" si="52"/>
        <v>0</v>
      </c>
      <c r="AL73" s="40">
        <f t="shared" si="52"/>
        <v>0</v>
      </c>
      <c r="AM73" s="21"/>
      <c r="AN73" s="40">
        <f t="shared" si="53"/>
        <v>0</v>
      </c>
      <c r="AO73" s="40">
        <f t="shared" si="54"/>
        <v>0</v>
      </c>
      <c r="AP73" s="40">
        <f t="shared" si="54"/>
        <v>0</v>
      </c>
      <c r="AQ73" s="40">
        <f t="shared" si="54"/>
        <v>-0.641062631223</v>
      </c>
      <c r="AR73" s="21"/>
    </row>
    <row r="74" spans="2:44" s="14" customFormat="1" ht="15.75">
      <c r="B74" s="42" t="s">
        <v>534</v>
      </c>
      <c r="C74" s="43" t="e">
        <f>+C71+C72+C73</f>
        <v>#REF!</v>
      </c>
      <c r="D74" s="23"/>
      <c r="E74" s="43">
        <v>-54.557362182033494</v>
      </c>
      <c r="F74" s="43">
        <v>-87.529458002986289</v>
      </c>
      <c r="G74" s="43">
        <v>-127.15643324892601</v>
      </c>
      <c r="H74" s="43" t="e">
        <f>+H71+H72+H73</f>
        <v>#REF!</v>
      </c>
      <c r="I74" s="23"/>
      <c r="J74" s="43">
        <f>+J71+J72+J73</f>
        <v>-81.891823182440987</v>
      </c>
      <c r="K74" s="43">
        <f>+K71+K72+K73</f>
        <v>-213.49547940867998</v>
      </c>
      <c r="L74" s="43">
        <f>+L71+L72+L73</f>
        <v>-442.20669320425202</v>
      </c>
      <c r="M74" s="43">
        <v>-511.13619625643798</v>
      </c>
      <c r="N74" s="23"/>
      <c r="O74" s="43">
        <f>+O71+O72+O73</f>
        <v>-54.066820016523963</v>
      </c>
      <c r="P74" s="43">
        <f>+P71+P72+P73</f>
        <v>-75.863121724305003</v>
      </c>
      <c r="Q74" s="43">
        <f>+Q71+Q72+Q73</f>
        <v>-116.08673862061001</v>
      </c>
      <c r="R74" s="43">
        <f>+R71+R72+R73</f>
        <v>-187.79139676402389</v>
      </c>
      <c r="S74" s="23"/>
      <c r="T74" s="43">
        <f>+T71+T72+T73</f>
        <v>-34.780395974332002</v>
      </c>
      <c r="U74" s="43">
        <f t="shared" ref="U74:W74" si="62">+U71+U72+U73</f>
        <v>-84.905903995844</v>
      </c>
      <c r="V74" s="43">
        <f t="shared" si="62"/>
        <v>-37.310194867917019</v>
      </c>
      <c r="W74" s="43">
        <f t="shared" si="62"/>
        <v>-81.086473309790975</v>
      </c>
      <c r="X74" s="23"/>
      <c r="Y74" s="43">
        <f t="shared" si="47"/>
        <v>-54.557362182033494</v>
      </c>
      <c r="Z74" s="43">
        <f t="shared" si="48"/>
        <v>-32.972095820952795</v>
      </c>
      <c r="AA74" s="43">
        <f t="shared" si="48"/>
        <v>-39.626975245939718</v>
      </c>
      <c r="AB74" s="43" t="e">
        <f t="shared" si="48"/>
        <v>#REF!</v>
      </c>
      <c r="AC74" s="23"/>
      <c r="AD74" s="43">
        <f t="shared" si="49"/>
        <v>-81.891823182440987</v>
      </c>
      <c r="AE74" s="43">
        <f t="shared" si="50"/>
        <v>-131.603656226239</v>
      </c>
      <c r="AF74" s="43">
        <f t="shared" si="50"/>
        <v>-228.71121379557204</v>
      </c>
      <c r="AG74" s="43">
        <f t="shared" si="50"/>
        <v>-68.929503052185964</v>
      </c>
      <c r="AH74" s="23"/>
      <c r="AI74" s="43">
        <f t="shared" si="51"/>
        <v>-54.066820016523963</v>
      </c>
      <c r="AJ74" s="43">
        <f t="shared" si="52"/>
        <v>-21.796301707781041</v>
      </c>
      <c r="AK74" s="43">
        <f t="shared" si="52"/>
        <v>-40.223616896305003</v>
      </c>
      <c r="AL74" s="43">
        <f t="shared" si="52"/>
        <v>-71.70465814341388</v>
      </c>
      <c r="AM74" s="23"/>
      <c r="AN74" s="43">
        <f t="shared" si="53"/>
        <v>-34.780395974332002</v>
      </c>
      <c r="AO74" s="43">
        <f t="shared" si="54"/>
        <v>-50.125508021511997</v>
      </c>
      <c r="AP74" s="43">
        <f t="shared" si="54"/>
        <v>47.59570912792698</v>
      </c>
      <c r="AQ74" s="43">
        <f t="shared" si="54"/>
        <v>-43.776278441873956</v>
      </c>
      <c r="AR74" s="23"/>
    </row>
    <row r="75" spans="2:44" s="14" customFormat="1">
      <c r="B75" s="45" t="s">
        <v>490</v>
      </c>
      <c r="C75" s="46" t="e">
        <f>#REF!/1000</f>
        <v>#REF!</v>
      </c>
      <c r="D75" s="21"/>
      <c r="E75" s="231">
        <v>-162.36185366355102</v>
      </c>
      <c r="F75" s="231">
        <v>-383.99419348499106</v>
      </c>
      <c r="G75" s="231">
        <v>-623.26722965091005</v>
      </c>
      <c r="H75" s="231" t="e">
        <f t="shared" ref="H75:H76" si="63">IF(AND($F$7=VALUE($C$4),H$8=$C$8),$C75,0)</f>
        <v>#REF!</v>
      </c>
      <c r="I75" s="21"/>
      <c r="J75" s="231">
        <v>0</v>
      </c>
      <c r="K75" s="231">
        <v>3.206</v>
      </c>
      <c r="L75" s="231">
        <v>3.2559999999999998</v>
      </c>
      <c r="M75" s="231">
        <v>-24.901443600000004</v>
      </c>
      <c r="N75" s="21"/>
      <c r="O75" s="231">
        <v>-1.8048502100000001</v>
      </c>
      <c r="P75" s="231">
        <v>-1.7910214599999998</v>
      </c>
      <c r="Q75" s="231">
        <v>-1.80206146</v>
      </c>
      <c r="R75" s="231">
        <v>-1.8529740636363599</v>
      </c>
      <c r="S75" s="21"/>
      <c r="T75" s="231">
        <v>0</v>
      </c>
      <c r="U75" s="231">
        <v>-1.5666099999999998</v>
      </c>
      <c r="V75" s="231">
        <v>-1.7265255212499999</v>
      </c>
      <c r="W75" s="231">
        <v>-1.9003800000000002</v>
      </c>
      <c r="X75" s="21"/>
      <c r="Y75" s="46">
        <f t="shared" si="47"/>
        <v>-162.36185366355102</v>
      </c>
      <c r="Z75" s="46">
        <f t="shared" si="48"/>
        <v>-221.63233982144004</v>
      </c>
      <c r="AA75" s="46">
        <f t="shared" si="48"/>
        <v>-239.273036165919</v>
      </c>
      <c r="AB75" s="46" t="e">
        <f t="shared" si="48"/>
        <v>#REF!</v>
      </c>
      <c r="AC75" s="21"/>
      <c r="AD75" s="46">
        <f t="shared" si="49"/>
        <v>0</v>
      </c>
      <c r="AE75" s="46">
        <f t="shared" si="50"/>
        <v>3.206</v>
      </c>
      <c r="AF75" s="46">
        <f t="shared" si="50"/>
        <v>4.9999999999999822E-2</v>
      </c>
      <c r="AG75" s="46">
        <f t="shared" si="50"/>
        <v>-28.157443600000004</v>
      </c>
      <c r="AH75" s="21"/>
      <c r="AI75" s="46">
        <f t="shared" si="51"/>
        <v>-1.8048502100000001</v>
      </c>
      <c r="AJ75" s="46">
        <f t="shared" si="52"/>
        <v>1.3828750000000278E-2</v>
      </c>
      <c r="AK75" s="46">
        <f t="shared" si="52"/>
        <v>-1.1040000000000161E-2</v>
      </c>
      <c r="AL75" s="46">
        <f t="shared" si="52"/>
        <v>-5.0912603636359854E-2</v>
      </c>
      <c r="AM75" s="21"/>
      <c r="AN75" s="46">
        <f t="shared" si="53"/>
        <v>0</v>
      </c>
      <c r="AO75" s="46">
        <f t="shared" si="54"/>
        <v>-1.5666099999999998</v>
      </c>
      <c r="AP75" s="46">
        <f t="shared" si="54"/>
        <v>-0.15991552125000008</v>
      </c>
      <c r="AQ75" s="46">
        <f t="shared" si="54"/>
        <v>-0.17385447875000026</v>
      </c>
      <c r="AR75" s="21"/>
    </row>
    <row r="76" spans="2:44" s="14" customFormat="1">
      <c r="B76" s="39" t="s">
        <v>416</v>
      </c>
      <c r="C76" s="40" t="e">
        <f>#REF!/1000</f>
        <v>#REF!</v>
      </c>
      <c r="D76" s="21"/>
      <c r="E76" s="232">
        <v>-3.7162947921150002</v>
      </c>
      <c r="F76" s="232">
        <v>-16.333824071597</v>
      </c>
      <c r="G76" s="232">
        <v>-5.4775024521929998</v>
      </c>
      <c r="H76" s="232" t="e">
        <f t="shared" si="63"/>
        <v>#REF!</v>
      </c>
      <c r="I76" s="21"/>
      <c r="J76" s="232">
        <v>-1.9699489680329998</v>
      </c>
      <c r="K76" s="232">
        <v>-1.6357638926760001</v>
      </c>
      <c r="L76" s="232">
        <v>-4.1676351892670001</v>
      </c>
      <c r="M76" s="232">
        <v>-4.8252347248080003</v>
      </c>
      <c r="N76" s="21"/>
      <c r="O76" s="232">
        <v>-4.2594294460000202E-2</v>
      </c>
      <c r="P76" s="232">
        <v>-1.3019343272749999</v>
      </c>
      <c r="Q76" s="232">
        <v>-6.8795759511900005</v>
      </c>
      <c r="R76" s="232">
        <v>-6.8670842769889999</v>
      </c>
      <c r="S76" s="21"/>
      <c r="T76" s="232">
        <v>0.32612867619999997</v>
      </c>
      <c r="U76" s="232">
        <v>0.86088325051199999</v>
      </c>
      <c r="V76" s="232">
        <v>1.6525363077940001</v>
      </c>
      <c r="W76" s="232">
        <v>1.413077233364</v>
      </c>
      <c r="X76" s="21"/>
      <c r="Y76" s="40">
        <f t="shared" si="47"/>
        <v>-3.7162947921150002</v>
      </c>
      <c r="Z76" s="40">
        <f t="shared" si="48"/>
        <v>-12.617529279482</v>
      </c>
      <c r="AA76" s="40">
        <f t="shared" si="48"/>
        <v>10.856321619404</v>
      </c>
      <c r="AB76" s="40" t="e">
        <f t="shared" si="48"/>
        <v>#REF!</v>
      </c>
      <c r="AC76" s="21"/>
      <c r="AD76" s="40">
        <f t="shared" si="49"/>
        <v>-1.9699489680329998</v>
      </c>
      <c r="AE76" s="40">
        <f t="shared" si="50"/>
        <v>0.33418507535699971</v>
      </c>
      <c r="AF76" s="40">
        <f t="shared" si="50"/>
        <v>-2.531871296591</v>
      </c>
      <c r="AG76" s="40">
        <f t="shared" si="50"/>
        <v>-0.65759953554100026</v>
      </c>
      <c r="AH76" s="21"/>
      <c r="AI76" s="40">
        <f t="shared" si="51"/>
        <v>-4.2594294460000202E-2</v>
      </c>
      <c r="AJ76" s="40">
        <f t="shared" si="52"/>
        <v>-1.2593400328149997</v>
      </c>
      <c r="AK76" s="40">
        <f t="shared" si="52"/>
        <v>-5.5776416239150004</v>
      </c>
      <c r="AL76" s="40">
        <f t="shared" si="52"/>
        <v>1.2491674201000613E-2</v>
      </c>
      <c r="AM76" s="21"/>
      <c r="AN76" s="40">
        <f t="shared" si="53"/>
        <v>0.32612867619999997</v>
      </c>
      <c r="AO76" s="40">
        <f t="shared" si="54"/>
        <v>0.53475457431200002</v>
      </c>
      <c r="AP76" s="40">
        <f t="shared" si="54"/>
        <v>0.79165305728200008</v>
      </c>
      <c r="AQ76" s="40">
        <f t="shared" si="54"/>
        <v>-0.23945907443000003</v>
      </c>
      <c r="AR76" s="21"/>
    </row>
    <row r="77" spans="2:44" s="14" customFormat="1" ht="15.75">
      <c r="B77" s="42" t="s">
        <v>491</v>
      </c>
      <c r="C77" s="43" t="e">
        <f>SUM(C74:C76)</f>
        <v>#REF!</v>
      </c>
      <c r="D77" s="23"/>
      <c r="E77" s="43">
        <v>-220.63551063769953</v>
      </c>
      <c r="F77" s="43">
        <v>-487.85747555957437</v>
      </c>
      <c r="G77" s="43">
        <v>-755.90116535202901</v>
      </c>
      <c r="H77" s="43" t="e">
        <f>SUM(H74:H76)</f>
        <v>#REF!</v>
      </c>
      <c r="I77" s="23"/>
      <c r="J77" s="43">
        <f>SUM(J74:J76)</f>
        <v>-83.861772150473982</v>
      </c>
      <c r="K77" s="43">
        <f>SUM(K74:K76)</f>
        <v>-211.92524330135601</v>
      </c>
      <c r="L77" s="43">
        <f>SUM(L74:L76)</f>
        <v>-443.11832839351905</v>
      </c>
      <c r="M77" s="43">
        <v>-540.86287458124593</v>
      </c>
      <c r="N77" s="23"/>
      <c r="O77" s="43">
        <f>SUM(O74:O76)</f>
        <v>-55.914264520983963</v>
      </c>
      <c r="P77" s="43">
        <f>SUM(P74:P76)</f>
        <v>-78.956077511580006</v>
      </c>
      <c r="Q77" s="43">
        <f>SUM(Q74:Q76)</f>
        <v>-124.76837603180002</v>
      </c>
      <c r="R77" s="43">
        <f>SUM(R74:R76)</f>
        <v>-196.51145510464926</v>
      </c>
      <c r="S77" s="23"/>
      <c r="T77" s="43">
        <f>SUM(T74:T76)</f>
        <v>-34.454267298132002</v>
      </c>
      <c r="U77" s="43">
        <f t="shared" ref="U77:W77" si="64">SUM(U74:U76)</f>
        <v>-85.611630745331993</v>
      </c>
      <c r="V77" s="43">
        <f t="shared" si="64"/>
        <v>-37.384184081373014</v>
      </c>
      <c r="W77" s="43">
        <f t="shared" si="64"/>
        <v>-81.573776076426967</v>
      </c>
      <c r="X77" s="23"/>
      <c r="Y77" s="43">
        <f t="shared" si="47"/>
        <v>-220.63551063769953</v>
      </c>
      <c r="Z77" s="43">
        <f t="shared" si="48"/>
        <v>-267.22196492187481</v>
      </c>
      <c r="AA77" s="43">
        <f t="shared" si="48"/>
        <v>-268.04368979245464</v>
      </c>
      <c r="AB77" s="43" t="e">
        <f t="shared" si="48"/>
        <v>#REF!</v>
      </c>
      <c r="AC77" s="23"/>
      <c r="AD77" s="43">
        <f t="shared" si="49"/>
        <v>-83.861772150473982</v>
      </c>
      <c r="AE77" s="43">
        <f t="shared" si="50"/>
        <v>-128.06347115088204</v>
      </c>
      <c r="AF77" s="43">
        <f t="shared" si="50"/>
        <v>-231.19308509216305</v>
      </c>
      <c r="AG77" s="43">
        <f t="shared" si="50"/>
        <v>-97.744546187726883</v>
      </c>
      <c r="AH77" s="23"/>
      <c r="AI77" s="43">
        <f t="shared" si="51"/>
        <v>-55.914264520983963</v>
      </c>
      <c r="AJ77" s="43">
        <f t="shared" si="52"/>
        <v>-23.041812990596043</v>
      </c>
      <c r="AK77" s="43">
        <f t="shared" si="52"/>
        <v>-45.812298520220011</v>
      </c>
      <c r="AL77" s="43">
        <f t="shared" si="52"/>
        <v>-71.743079072849241</v>
      </c>
      <c r="AM77" s="23"/>
      <c r="AN77" s="43">
        <f t="shared" si="53"/>
        <v>-34.454267298132002</v>
      </c>
      <c r="AO77" s="43">
        <f t="shared" si="54"/>
        <v>-51.157363447199991</v>
      </c>
      <c r="AP77" s="43">
        <f t="shared" si="54"/>
        <v>48.227446663958979</v>
      </c>
      <c r="AQ77" s="43">
        <f t="shared" si="54"/>
        <v>-44.189591995053952</v>
      </c>
      <c r="AR77" s="23"/>
    </row>
    <row r="78" spans="2:44" s="14" customFormat="1">
      <c r="B78" s="18"/>
      <c r="C78" s="18"/>
      <c r="D78" s="21"/>
      <c r="E78" s="247"/>
      <c r="F78" s="247"/>
      <c r="G78" s="247"/>
      <c r="H78" s="247"/>
      <c r="I78" s="21"/>
      <c r="J78" s="247"/>
      <c r="K78" s="247"/>
      <c r="L78" s="247"/>
      <c r="M78" s="247"/>
      <c r="N78" s="21"/>
      <c r="O78" s="247"/>
      <c r="P78" s="247"/>
      <c r="Q78" s="247"/>
      <c r="R78" s="247"/>
      <c r="S78" s="21"/>
      <c r="T78" s="18"/>
      <c r="U78" s="18"/>
      <c r="V78" s="18"/>
      <c r="W78" s="18"/>
      <c r="X78" s="21"/>
      <c r="Y78" s="18"/>
      <c r="Z78" s="18"/>
      <c r="AA78" s="18"/>
      <c r="AB78" s="18"/>
      <c r="AC78" s="21"/>
      <c r="AD78" s="18"/>
      <c r="AE78" s="18"/>
      <c r="AF78" s="18"/>
      <c r="AG78" s="18"/>
      <c r="AH78" s="21"/>
      <c r="AI78" s="18"/>
      <c r="AJ78" s="18"/>
      <c r="AK78" s="18"/>
      <c r="AL78" s="18"/>
      <c r="AM78" s="21"/>
      <c r="AN78" s="18"/>
      <c r="AO78" s="18"/>
      <c r="AP78" s="18"/>
      <c r="AQ78" s="18"/>
      <c r="AR78" s="21"/>
    </row>
    <row r="79" spans="2:44" s="14" customFormat="1">
      <c r="B79" s="48" t="s">
        <v>492</v>
      </c>
      <c r="C79" s="54" t="str">
        <f>IF(ISERROR(C65/C64*100)," ",C65/C64*100)</f>
        <v xml:space="preserve"> </v>
      </c>
      <c r="D79" s="21"/>
      <c r="E79" s="250">
        <v>-29.386071143310584</v>
      </c>
      <c r="F79" s="250">
        <v>-24.091866480445294</v>
      </c>
      <c r="G79" s="250">
        <v>-21.04635837746233</v>
      </c>
      <c r="H79" s="250" t="str">
        <f>IF(ISERROR(H65/H64*100)," ",H65/H64*100)</f>
        <v xml:space="preserve"> </v>
      </c>
      <c r="I79" s="21"/>
      <c r="J79" s="250">
        <f>IF(ISERROR(J65/J64*100)," ",J65/J64*100)</f>
        <v>-58.00772856839744</v>
      </c>
      <c r="K79" s="250">
        <f>IF(ISERROR(K65/K64*100)," ",K65/K64*100)</f>
        <v>-60.681273061644113</v>
      </c>
      <c r="L79" s="250">
        <f>IF(ISERROR(L65/L64*100)," ",L65/L64*100)</f>
        <v>-53.306983929199973</v>
      </c>
      <c r="M79" s="250">
        <v>-47.294147098123211</v>
      </c>
      <c r="N79" s="21"/>
      <c r="O79" s="250">
        <f>IF(ISERROR(O65/O64*100)," ",O65/O64*100)</f>
        <v>-43.672725594222193</v>
      </c>
      <c r="P79" s="250">
        <f>IF(ISERROR(P65/P64*100)," ",P65/P64*100)</f>
        <v>-30.751540640565132</v>
      </c>
      <c r="Q79" s="250">
        <f>IF(ISERROR(Q65/Q64*100)," ",Q65/Q64*100)</f>
        <v>-31.701157308801619</v>
      </c>
      <c r="R79" s="250">
        <f>IF(ISERROR(R65/R64*100)," ",R65/R64*100)</f>
        <v>-40.056534878084214</v>
      </c>
      <c r="S79" s="21"/>
      <c r="T79" s="250">
        <f t="shared" ref="T79:W79" si="65">IF(ISERROR(T65/T64*100)," ",T65/T64*100)</f>
        <v>-43.38479628539865</v>
      </c>
      <c r="U79" s="250">
        <f t="shared" si="65"/>
        <v>-56.661494784059173</v>
      </c>
      <c r="V79" s="250">
        <f t="shared" si="65"/>
        <v>-38.823319862057701</v>
      </c>
      <c r="W79" s="250">
        <f t="shared" si="65"/>
        <v>-33.013307458230322</v>
      </c>
      <c r="X79" s="21"/>
      <c r="Y79" s="54">
        <f>IF(ISERROR(Y65/Y64*100)," ",Y65/Y64*100)</f>
        <v>-29.386071143310584</v>
      </c>
      <c r="Z79" s="54">
        <f>IF(ISERROR(Z65/Z64*100)," ",Z65/Z64*100)</f>
        <v>-19.604818003186537</v>
      </c>
      <c r="AA79" s="54">
        <f>IF(ISERROR(AA65/AA64*100)," ",AA65/AA64*100)</f>
        <v>-15.18072307631922</v>
      </c>
      <c r="AB79" s="54" t="str">
        <f>IF(ISERROR(AB65/AB64*100)," ",AB65/AB64*100)</f>
        <v xml:space="preserve"> </v>
      </c>
      <c r="AC79" s="21"/>
      <c r="AD79" s="54">
        <f>IF(ISERROR(AD65/AD64*100)," ",AD65/AD64*100)</f>
        <v>-58.00772856839744</v>
      </c>
      <c r="AE79" s="54">
        <f>IF(ISERROR(AE65/AE64*100)," ",AE65/AE64*100)</f>
        <v>-63.000710903226178</v>
      </c>
      <c r="AF79" s="54">
        <f>IF(ISERROR(AF65/AF64*100)," ",AF65/AF64*100)</f>
        <v>-38.212647254838714</v>
      </c>
      <c r="AG79" s="54">
        <f>IF(ISERROR(AG65/AG64*100)," ",AG65/AG64*100)</f>
        <v>-33.059559498570223</v>
      </c>
      <c r="AH79" s="21"/>
      <c r="AI79" s="54">
        <f>IF(ISERROR(AI65/AI64*100)," ",AI65/AI64*100)</f>
        <v>-43.672725594222193</v>
      </c>
      <c r="AJ79" s="54">
        <f>IF(ISERROR(AJ65/AJ64*100)," ",AJ65/AJ64*100)</f>
        <v>-18.430818328724577</v>
      </c>
      <c r="AK79" s="54">
        <f>IF(ISERROR(AK65/AK64*100)," ",AK65/AK64*100)</f>
        <v>-33.730110847336327</v>
      </c>
      <c r="AL79" s="54">
        <f>IF(ISERROR(AL65/AL64*100)," ",AL65/AL64*100)</f>
        <v>-64.251055355761906</v>
      </c>
      <c r="AM79" s="21"/>
      <c r="AN79" s="54">
        <f>IF(ISERROR(AN65/AN64*100)," ",AN65/AN64*100)</f>
        <v>-43.38479628539865</v>
      </c>
      <c r="AO79" s="54">
        <f>IF(ISERROR(AO65/AO64*100)," ",AO65/AO64*100)</f>
        <v>-70.395239007777349</v>
      </c>
      <c r="AP79" s="54">
        <f>IF(ISERROR(AP65/AP64*100)," ",AP65/AP64*100)</f>
        <v>-12.766338855842646</v>
      </c>
      <c r="AQ79" s="54">
        <f>IF(ISERROR(AQ65/AQ64*100)," ",AQ65/AQ64*100)</f>
        <v>-21.802241973024714</v>
      </c>
      <c r="AR79" s="21"/>
    </row>
    <row r="80" spans="2:44" s="14" customFormat="1">
      <c r="B80" s="50" t="s">
        <v>503</v>
      </c>
      <c r="C80" s="155" t="str">
        <f>IF(ISERROR(C71/C64*100)," ",C71/C64*100)</f>
        <v xml:space="preserve"> </v>
      </c>
      <c r="D80" s="21"/>
      <c r="E80" s="251">
        <v>-34.259122827857581</v>
      </c>
      <c r="F80" s="251">
        <v>-25.016574635427158</v>
      </c>
      <c r="G80" s="251">
        <v>-22.118532254887981</v>
      </c>
      <c r="H80" s="251" t="str">
        <f>IF(ISERROR(H71/H64*100)," ",H71/H64*100)</f>
        <v xml:space="preserve"> </v>
      </c>
      <c r="I80" s="21"/>
      <c r="J80" s="251">
        <f>IF(ISERROR(J71/J64*100)," ",J71/J64*100)</f>
        <v>-60.196397912495584</v>
      </c>
      <c r="K80" s="251">
        <f>IF(ISERROR(K71/K64*100)," ",K71/K64*100)</f>
        <v>-76.307241579737024</v>
      </c>
      <c r="L80" s="251">
        <f>IF(ISERROR(L71/L64*100)," ",L71/L64*100)</f>
        <v>-78.310572859098954</v>
      </c>
      <c r="M80" s="251">
        <v>-62.360224653174647</v>
      </c>
      <c r="N80" s="21"/>
      <c r="O80" s="251">
        <f>IF(ISERROR(O71/O64*100)," ",O71/O64*100)</f>
        <v>-46.602438340414039</v>
      </c>
      <c r="P80" s="251">
        <f>IF(ISERROR(P71/P64*100)," ",P71/P64*100)</f>
        <v>-31.547173788681615</v>
      </c>
      <c r="Q80" s="251">
        <f>IF(ISERROR(Q71/Q64*100)," ",Q71/Q64*100)</f>
        <v>-32.247985943464059</v>
      </c>
      <c r="R80" s="251">
        <f>IF(ISERROR(R71/R64*100)," ",R71/R64*100)</f>
        <v>-38.993071758559864</v>
      </c>
      <c r="S80" s="21"/>
      <c r="T80" s="251">
        <f t="shared" ref="T80:W80" si="66">IF(ISERROR(T71/T64*100)," ",T71/T64*100)</f>
        <v>-42.417802346092401</v>
      </c>
      <c r="U80" s="251">
        <f t="shared" si="66"/>
        <v>-54.103604496992439</v>
      </c>
      <c r="V80" s="251">
        <f t="shared" si="66"/>
        <v>-10.779982891872445</v>
      </c>
      <c r="W80" s="251">
        <f t="shared" si="66"/>
        <v>-18.789941729175094</v>
      </c>
      <c r="X80" s="21"/>
      <c r="Y80" s="155">
        <f>IF(ISERROR(Y71/Y64*100)," ",Y71/Y64*100)</f>
        <v>-34.259122827857581</v>
      </c>
      <c r="Z80" s="155">
        <f>IF(ISERROR(Z71/Z64*100)," ",Z71/Z64*100)</f>
        <v>-17.183148382806511</v>
      </c>
      <c r="AA80" s="155">
        <f>IF(ISERROR(AA71/AA64*100)," ",AA71/AA64*100)</f>
        <v>-16.536915290924025</v>
      </c>
      <c r="AB80" s="155" t="str">
        <f>IF(ISERROR(AB71/AB64*100)," ",AB71/AB64*100)</f>
        <v xml:space="preserve"> </v>
      </c>
      <c r="AC80" s="21"/>
      <c r="AD80" s="155">
        <f>IF(ISERROR(AD71/AD64*100)," ",AD71/AD64*100)</f>
        <v>-60.196397912495584</v>
      </c>
      <c r="AE80" s="155">
        <f>IF(ISERROR(AE71/AE64*100)," ",AE71/AE64*100)</f>
        <v>-90.284230014380142</v>
      </c>
      <c r="AF80" s="155">
        <f>IF(ISERROR(AF71/AF64*100)," ",AF71/AF64*100)</f>
        <v>-82.411165642737899</v>
      </c>
      <c r="AG80" s="155">
        <f>IF(ISERROR(AG71/AG64*100)," ",AG71/AG64*100)</f>
        <v>-24.599906992942387</v>
      </c>
      <c r="AH80" s="21"/>
      <c r="AI80" s="155">
        <f>IF(ISERROR(AI71/AI64*100)," ",AI71/AI64*100)</f>
        <v>-46.602438340414039</v>
      </c>
      <c r="AJ80" s="155">
        <f>IF(ISERROR(AJ71/AJ64*100)," ",AJ71/AJ64*100)</f>
        <v>-17.191545064344503</v>
      </c>
      <c r="AK80" s="155">
        <f>IF(ISERROR(AK71/AK64*100)," ",AK71/AK64*100)</f>
        <v>-33.745343086462164</v>
      </c>
      <c r="AL80" s="155">
        <f>IF(ISERROR(AL71/AL64*100)," ",AL71/AL64*100)</f>
        <v>-58.524698608911862</v>
      </c>
      <c r="AM80" s="21"/>
      <c r="AN80" s="155">
        <f>IF(ISERROR(AN71/AN64*100)," ",AN71/AN64*100)</f>
        <v>-42.417802346092401</v>
      </c>
      <c r="AO80" s="155">
        <f>IF(ISERROR(AO71/AO64*100)," ",AO71/AO64*100)</f>
        <v>-66.191686319866463</v>
      </c>
      <c r="AP80" s="155">
        <f>IF(ISERROR(AP71/AP64*100)," ",AP71/AP64*100)</f>
        <v>52.504674323407144</v>
      </c>
      <c r="AQ80" s="155">
        <f>IF(ISERROR(AQ71/AQ64*100)," ",AQ71/AQ64*100)</f>
        <v>-34.246048673051</v>
      </c>
      <c r="AR80" s="21"/>
    </row>
    <row r="81" spans="2:44" s="14" customFormat="1">
      <c r="B81" s="50" t="s">
        <v>493</v>
      </c>
      <c r="C81" s="155" t="str">
        <f>IF(ISERROR(C74/C64*100)," ",C74/C64*100)</f>
        <v xml:space="preserve"> </v>
      </c>
      <c r="D81" s="21"/>
      <c r="E81" s="251">
        <v>-35.205916996663433</v>
      </c>
      <c r="F81" s="251">
        <v>-25.91091792539293</v>
      </c>
      <c r="G81" s="251">
        <v>-24.776988607237726</v>
      </c>
      <c r="H81" s="251" t="str">
        <f>IF(ISERROR(H74/H64*100)," ",H74/H64*100)</f>
        <v xml:space="preserve"> </v>
      </c>
      <c r="I81" s="21"/>
      <c r="J81" s="251">
        <f>IF(ISERROR(J74/J64*100)," ",J74/J64*100)</f>
        <v>-67.083148172560371</v>
      </c>
      <c r="K81" s="251">
        <f>IF(ISERROR(K74/K64*100)," ",K74/K64*100)</f>
        <v>-81.242688744435071</v>
      </c>
      <c r="L81" s="251">
        <f>IF(ISERROR(L74/L64*100)," ",L74/L64*100)</f>
        <v>-113.0468426429418</v>
      </c>
      <c r="M81" s="251">
        <v>-91.863896992756295</v>
      </c>
      <c r="N81" s="21"/>
      <c r="O81" s="251">
        <f>IF(ISERROR(O74/O64*100)," ",O74/O64*100)</f>
        <v>-48.859289094917216</v>
      </c>
      <c r="P81" s="251">
        <f>IF(ISERROR(P74/P64*100)," ",P74/P64*100)</f>
        <v>-33.462703781911216</v>
      </c>
      <c r="Q81" s="251">
        <f>IF(ISERROR(Q74/Q64*100)," ",Q74/Q64*100)</f>
        <v>-34.880057356980657</v>
      </c>
      <c r="R81" s="251">
        <f>IF(ISERROR(R74/R64*100)," ",R74/R64*100)</f>
        <v>-41.94089161985876</v>
      </c>
      <c r="S81" s="21"/>
      <c r="T81" s="251">
        <f t="shared" ref="T81:W81" si="67">IF(ISERROR(T74/T64*100)," ",T74/T64*100)</f>
        <v>-48.357669765162484</v>
      </c>
      <c r="U81" s="251">
        <f t="shared" si="67"/>
        <v>-60.024145402265617</v>
      </c>
      <c r="V81" s="251">
        <f t="shared" si="67"/>
        <v>-15.657524964463821</v>
      </c>
      <c r="W81" s="251">
        <f t="shared" si="67"/>
        <v>-22.41319852162589</v>
      </c>
      <c r="X81" s="21"/>
      <c r="Y81" s="155">
        <f>IF(ISERROR(Y74/Y64*100)," ",Y74/Y64*100)</f>
        <v>-35.205916996663433</v>
      </c>
      <c r="Z81" s="155">
        <f>IF(ISERROR(Z74/Z64*100)," ",Z74/Z64*100)</f>
        <v>-18.033037472185537</v>
      </c>
      <c r="AA81" s="155">
        <f>IF(ISERROR(AA74/AA64*100)," ",AA74/AA64*100)</f>
        <v>-22.593045694376102</v>
      </c>
      <c r="AB81" s="155" t="str">
        <f>IF(ISERROR(AB74/AB64*100)," ",AB74/AB64*100)</f>
        <v xml:space="preserve"> </v>
      </c>
      <c r="AC81" s="21"/>
      <c r="AD81" s="155">
        <f>IF(ISERROR(AD74/AD64*100)," ",AD74/AD64*100)</f>
        <v>-67.083148172560371</v>
      </c>
      <c r="AE81" s="155">
        <f>IF(ISERROR(AE74/AE64*100)," ",AE74/AE64*100)</f>
        <v>-93.526821028293227</v>
      </c>
      <c r="AF81" s="155">
        <f>IF(ISERROR(AF74/AF64*100)," ",AF74/AF64*100)</f>
        <v>-178.14635229942675</v>
      </c>
      <c r="AG81" s="155">
        <f>IF(ISERROR(AG74/AG64*100)," ",AG74/AG64*100)</f>
        <v>-41.716104204549353</v>
      </c>
      <c r="AH81" s="21"/>
      <c r="AI81" s="155">
        <f>IF(ISERROR(AI74/AI64*100)," ",AI74/AI64*100)</f>
        <v>-48.859289094917216</v>
      </c>
      <c r="AJ81" s="155">
        <f>IF(ISERROR(AJ74/AJ64*100)," ",AJ74/AJ64*100)</f>
        <v>-18.781615872986894</v>
      </c>
      <c r="AK81" s="155">
        <f>IF(ISERROR(AK74/AK64*100)," ",AK74/AK64*100)</f>
        <v>-37.908378834143065</v>
      </c>
      <c r="AL81" s="155">
        <f>IF(ISERROR(AL74/AL64*100)," ",AL74/AL64*100)</f>
        <v>-62.386825719921255</v>
      </c>
      <c r="AM81" s="21"/>
      <c r="AN81" s="155">
        <f>IF(ISERROR(AN74/AN64*100)," ",AN74/AN64*100)</f>
        <v>-48.357669765162484</v>
      </c>
      <c r="AO81" s="155">
        <f>IF(ISERROR(AO74/AO64*100)," ",AO74/AO64*100)</f>
        <v>-72.092235402831562</v>
      </c>
      <c r="AP81" s="155">
        <f>IF(ISERROR(AP74/AP64*100)," ",AP74/AP64*100)</f>
        <v>49.150685018491203</v>
      </c>
      <c r="AQ81" s="155">
        <f>IF(ISERROR(AQ74/AQ64*100)," ",AQ74/AQ64*100)</f>
        <v>-35.449022437616662</v>
      </c>
      <c r="AR81" s="21"/>
    </row>
    <row r="82" spans="2:44" s="14" customFormat="1">
      <c r="B82" s="50" t="s">
        <v>64</v>
      </c>
      <c r="C82" s="51" t="e">
        <f>#REF!/1000</f>
        <v>#REF!</v>
      </c>
      <c r="D82" s="59"/>
      <c r="E82" s="230">
        <v>8.2160925999999996</v>
      </c>
      <c r="F82" s="230">
        <v>9.6858495924000003</v>
      </c>
      <c r="G82" s="230">
        <v>12.798814931999999</v>
      </c>
      <c r="H82" s="230" t="e">
        <f t="shared" ref="H82:H83" si="68">IF(AND($F$7=VALUE($C$4),H$8=$C$8),$C82,0)</f>
        <v>#REF!</v>
      </c>
      <c r="I82" s="59"/>
      <c r="J82" s="230">
        <v>30.451219000000002</v>
      </c>
      <c r="K82" s="230">
        <v>62.029929600000003</v>
      </c>
      <c r="L82" s="230">
        <v>91.148109599999998</v>
      </c>
      <c r="M82" s="230">
        <v>85.732809900000007</v>
      </c>
      <c r="N82" s="59"/>
      <c r="O82" s="302">
        <f>10.606803+0.016803</f>
        <v>10.623605999999999</v>
      </c>
      <c r="P82" s="302">
        <f>24.3903479+0.320024</f>
        <v>24.710371899999998</v>
      </c>
      <c r="Q82" s="230">
        <v>35.414774700000002</v>
      </c>
      <c r="R82" s="230">
        <v>63.815977100000005</v>
      </c>
      <c r="S82" s="59"/>
      <c r="T82" s="230">
        <v>8.1891748</v>
      </c>
      <c r="U82" s="230">
        <v>18.300801356000001</v>
      </c>
      <c r="V82" s="230">
        <v>28.727882300000001</v>
      </c>
      <c r="W82" s="230">
        <v>39.476294023999998</v>
      </c>
      <c r="X82" s="59"/>
      <c r="Y82" s="51">
        <f>+E82</f>
        <v>8.2160925999999996</v>
      </c>
      <c r="Z82" s="51">
        <f t="shared" ref="Z82:AB83" si="69">+F82-E82</f>
        <v>1.4697569924000007</v>
      </c>
      <c r="AA82" s="51">
        <f t="shared" si="69"/>
        <v>3.1129653395999988</v>
      </c>
      <c r="AB82" s="51" t="e">
        <f t="shared" si="69"/>
        <v>#REF!</v>
      </c>
      <c r="AC82" s="59"/>
      <c r="AD82" s="51">
        <f>+J82</f>
        <v>30.451219000000002</v>
      </c>
      <c r="AE82" s="51">
        <f t="shared" ref="AE82:AG83" si="70">+K82-J82</f>
        <v>31.578710600000001</v>
      </c>
      <c r="AF82" s="51">
        <f t="shared" si="70"/>
        <v>29.118179999999995</v>
      </c>
      <c r="AG82" s="51">
        <f t="shared" si="70"/>
        <v>-5.4152996999999914</v>
      </c>
      <c r="AH82" s="59"/>
      <c r="AI82" s="51">
        <f>+O82</f>
        <v>10.623605999999999</v>
      </c>
      <c r="AJ82" s="51">
        <f t="shared" ref="AJ82:AL83" si="71">+P82-O82</f>
        <v>14.0867659</v>
      </c>
      <c r="AK82" s="51">
        <f t="shared" si="71"/>
        <v>10.704402800000004</v>
      </c>
      <c r="AL82" s="51">
        <f t="shared" si="71"/>
        <v>28.401202400000003</v>
      </c>
      <c r="AM82" s="59"/>
      <c r="AN82" s="51">
        <f>+T82</f>
        <v>8.1891748</v>
      </c>
      <c r="AO82" s="51">
        <f t="shared" ref="AO82:AQ83" si="72">+U82-T82</f>
        <v>10.111626556000001</v>
      </c>
      <c r="AP82" s="51">
        <f t="shared" si="72"/>
        <v>10.427080944</v>
      </c>
      <c r="AQ82" s="51">
        <f t="shared" si="72"/>
        <v>10.748411723999997</v>
      </c>
      <c r="AR82" s="59"/>
    </row>
    <row r="83" spans="2:44" s="14" customFormat="1">
      <c r="B83" s="50" t="s">
        <v>0</v>
      </c>
      <c r="C83" s="51" t="e">
        <f>#REF!/1000</f>
        <v>#REF!</v>
      </c>
      <c r="D83" s="65"/>
      <c r="E83" s="230">
        <v>166.489</v>
      </c>
      <c r="F83" s="230">
        <v>309.34899999999999</v>
      </c>
      <c r="G83" s="230">
        <v>433.17099999999999</v>
      </c>
      <c r="H83" s="230" t="e">
        <f t="shared" si="68"/>
        <v>#REF!</v>
      </c>
      <c r="I83" s="65"/>
      <c r="J83" s="230">
        <v>0</v>
      </c>
      <c r="K83" s="230">
        <v>0</v>
      </c>
      <c r="L83" s="230">
        <v>0</v>
      </c>
      <c r="M83" s="230">
        <v>808.20469473100002</v>
      </c>
      <c r="N83" s="65"/>
      <c r="O83" s="230">
        <v>0</v>
      </c>
      <c r="P83" s="230">
        <v>0</v>
      </c>
      <c r="Q83" s="230">
        <v>0</v>
      </c>
      <c r="R83" s="230">
        <v>0</v>
      </c>
      <c r="S83" s="65"/>
      <c r="T83" s="230">
        <v>0</v>
      </c>
      <c r="U83" s="230">
        <v>1.2</v>
      </c>
      <c r="V83" s="230">
        <v>1.2</v>
      </c>
      <c r="W83" s="230">
        <v>1.2</v>
      </c>
      <c r="X83" s="65"/>
      <c r="Y83" s="51">
        <f>+E83</f>
        <v>166.489</v>
      </c>
      <c r="Z83" s="51">
        <f t="shared" si="69"/>
        <v>142.85999999999999</v>
      </c>
      <c r="AA83" s="51">
        <f t="shared" si="69"/>
        <v>123.822</v>
      </c>
      <c r="AB83" s="51" t="e">
        <f t="shared" si="69"/>
        <v>#REF!</v>
      </c>
      <c r="AC83" s="65"/>
      <c r="AD83" s="51">
        <f>+J83</f>
        <v>0</v>
      </c>
      <c r="AE83" s="51">
        <f t="shared" si="70"/>
        <v>0</v>
      </c>
      <c r="AF83" s="51">
        <f t="shared" si="70"/>
        <v>0</v>
      </c>
      <c r="AG83" s="51">
        <f t="shared" si="70"/>
        <v>808.20469473100002</v>
      </c>
      <c r="AH83" s="65"/>
      <c r="AI83" s="51">
        <f>+O83</f>
        <v>0</v>
      </c>
      <c r="AJ83" s="51">
        <f t="shared" si="71"/>
        <v>0</v>
      </c>
      <c r="AK83" s="51">
        <f t="shared" si="71"/>
        <v>0</v>
      </c>
      <c r="AL83" s="51">
        <f t="shared" si="71"/>
        <v>0</v>
      </c>
      <c r="AM83" s="65"/>
      <c r="AN83" s="51">
        <f>+T83</f>
        <v>0</v>
      </c>
      <c r="AO83" s="51">
        <f t="shared" si="72"/>
        <v>1.2</v>
      </c>
      <c r="AP83" s="51">
        <f t="shared" si="72"/>
        <v>0</v>
      </c>
      <c r="AQ83" s="51">
        <f t="shared" si="72"/>
        <v>0</v>
      </c>
      <c r="AR83" s="65"/>
    </row>
    <row r="84" spans="2:44">
      <c r="B84" s="22"/>
      <c r="C84" s="22"/>
      <c r="D84" s="65"/>
      <c r="E84" s="247"/>
      <c r="F84" s="256"/>
      <c r="G84" s="247"/>
      <c r="H84" s="247"/>
      <c r="I84" s="65"/>
      <c r="J84" s="247"/>
      <c r="K84" s="256"/>
      <c r="L84" s="247"/>
      <c r="M84" s="247"/>
      <c r="N84" s="65"/>
      <c r="O84" s="20"/>
      <c r="P84" s="20"/>
      <c r="Q84" s="20"/>
      <c r="R84" s="20"/>
      <c r="S84" s="65"/>
      <c r="T84" s="22"/>
      <c r="U84" s="22"/>
      <c r="V84" s="22"/>
      <c r="W84" s="22"/>
      <c r="X84" s="65"/>
      <c r="Y84" s="15"/>
      <c r="Z84" s="15"/>
      <c r="AA84" s="15"/>
      <c r="AB84" s="15"/>
      <c r="AC84" s="65"/>
      <c r="AD84" s="15"/>
      <c r="AE84" s="15"/>
      <c r="AF84" s="15"/>
      <c r="AG84" s="15"/>
      <c r="AH84" s="65"/>
      <c r="AI84" s="15"/>
      <c r="AJ84" s="15"/>
      <c r="AK84" s="15"/>
      <c r="AL84" s="15"/>
      <c r="AM84" s="65"/>
      <c r="AN84" s="15"/>
      <c r="AO84" s="15"/>
      <c r="AP84" s="15"/>
      <c r="AQ84" s="15"/>
      <c r="AR84" s="65"/>
    </row>
    <row r="85" spans="2:44">
      <c r="B85" s="22"/>
      <c r="C85" s="22"/>
      <c r="D85" s="65"/>
      <c r="E85" s="247"/>
      <c r="F85" s="256"/>
      <c r="G85" s="247"/>
      <c r="H85" s="247"/>
      <c r="I85" s="65"/>
      <c r="J85" s="247"/>
      <c r="K85" s="256"/>
      <c r="L85" s="247"/>
      <c r="M85" s="247"/>
      <c r="N85" s="65"/>
      <c r="O85" s="247"/>
      <c r="P85" s="256"/>
      <c r="Q85" s="247"/>
      <c r="R85" s="247"/>
      <c r="S85" s="65"/>
      <c r="T85" s="22"/>
      <c r="U85" s="22"/>
      <c r="V85" s="22"/>
      <c r="W85" s="22"/>
      <c r="X85" s="65"/>
      <c r="Y85" s="15"/>
      <c r="Z85" s="15"/>
      <c r="AA85" s="15"/>
      <c r="AB85" s="15"/>
      <c r="AC85" s="65"/>
      <c r="AD85" s="15"/>
      <c r="AE85" s="15"/>
      <c r="AF85" s="15"/>
      <c r="AG85" s="15"/>
      <c r="AH85" s="65"/>
      <c r="AI85" s="15"/>
      <c r="AJ85" s="15"/>
      <c r="AK85" s="15"/>
      <c r="AL85" s="15"/>
      <c r="AM85" s="65"/>
      <c r="AN85" s="15"/>
      <c r="AO85" s="15"/>
      <c r="AP85" s="15"/>
      <c r="AQ85" s="15"/>
      <c r="AR85" s="65"/>
    </row>
    <row r="86" spans="2:44">
      <c r="B86" s="22"/>
      <c r="C86" s="22"/>
      <c r="D86" s="65"/>
      <c r="E86" s="247"/>
      <c r="F86" s="256"/>
      <c r="G86" s="247"/>
      <c r="H86" s="247"/>
      <c r="I86" s="65"/>
      <c r="J86" s="247"/>
      <c r="K86" s="256"/>
      <c r="L86" s="247"/>
      <c r="M86" s="247"/>
      <c r="N86" s="65"/>
      <c r="O86" s="247"/>
      <c r="P86" s="256"/>
      <c r="Q86" s="247"/>
      <c r="R86" s="247"/>
      <c r="S86" s="65"/>
      <c r="T86" s="22"/>
      <c r="U86" s="22"/>
      <c r="V86" s="22"/>
      <c r="W86" s="22"/>
      <c r="X86" s="65"/>
      <c r="Y86" s="15"/>
      <c r="Z86" s="15"/>
      <c r="AA86" s="15"/>
      <c r="AB86" s="15"/>
      <c r="AC86" s="65"/>
      <c r="AD86" s="15"/>
      <c r="AE86" s="15"/>
      <c r="AF86" s="15"/>
      <c r="AG86" s="15"/>
      <c r="AH86" s="65"/>
      <c r="AI86" s="15"/>
      <c r="AJ86" s="15"/>
      <c r="AK86" s="15"/>
      <c r="AL86" s="15"/>
      <c r="AM86" s="65"/>
      <c r="AN86" s="15"/>
      <c r="AO86" s="15"/>
      <c r="AP86" s="15"/>
      <c r="AQ86" s="15"/>
      <c r="AR86" s="65"/>
    </row>
    <row r="87" spans="2:44">
      <c r="B87" s="22"/>
      <c r="C87" s="22"/>
      <c r="D87" s="65"/>
      <c r="E87" s="247"/>
      <c r="F87" s="256"/>
      <c r="G87" s="247"/>
      <c r="H87" s="247"/>
      <c r="I87" s="65"/>
      <c r="J87" s="247"/>
      <c r="K87" s="256"/>
      <c r="L87" s="247"/>
      <c r="M87" s="247"/>
      <c r="N87" s="65"/>
      <c r="O87" s="247"/>
      <c r="P87" s="256"/>
      <c r="Q87" s="247"/>
      <c r="R87" s="247"/>
      <c r="S87" s="65"/>
      <c r="T87" s="22"/>
      <c r="U87" s="22"/>
      <c r="V87" s="22"/>
      <c r="W87" s="22"/>
      <c r="X87" s="65"/>
      <c r="Y87" s="15"/>
      <c r="Z87" s="15"/>
      <c r="AA87" s="15"/>
      <c r="AB87" s="15"/>
      <c r="AC87" s="65"/>
      <c r="AD87" s="15"/>
      <c r="AE87" s="15"/>
      <c r="AF87" s="15"/>
      <c r="AG87" s="15"/>
      <c r="AH87" s="65"/>
      <c r="AI87" s="15"/>
      <c r="AJ87" s="15"/>
      <c r="AK87" s="15"/>
      <c r="AL87" s="15"/>
      <c r="AM87" s="65"/>
      <c r="AN87" s="15"/>
      <c r="AO87" s="15"/>
      <c r="AP87" s="15"/>
      <c r="AQ87" s="15"/>
      <c r="AR87" s="65"/>
    </row>
    <row r="88" spans="2:44" ht="15.75">
      <c r="B88" s="33" t="s">
        <v>598</v>
      </c>
      <c r="C88" s="33"/>
      <c r="D88" s="17"/>
      <c r="E88" s="244"/>
      <c r="F88" s="575">
        <f>$F$7</f>
        <v>2014</v>
      </c>
      <c r="G88" s="575"/>
      <c r="H88" s="244"/>
      <c r="I88" s="17"/>
      <c r="J88" s="244"/>
      <c r="K88" s="575">
        <f>$K$7</f>
        <v>2013</v>
      </c>
      <c r="L88" s="575"/>
      <c r="M88" s="244"/>
      <c r="N88" s="17"/>
      <c r="O88" s="244"/>
      <c r="P88" s="575">
        <f>$P$7</f>
        <v>2012</v>
      </c>
      <c r="Q88" s="575"/>
      <c r="R88" s="244"/>
      <c r="S88" s="17"/>
      <c r="T88" s="36"/>
      <c r="U88" s="573">
        <f>$U$7</f>
        <v>2011</v>
      </c>
      <c r="V88" s="573"/>
      <c r="W88" s="36"/>
      <c r="X88" s="17"/>
      <c r="Y88" s="36"/>
      <c r="Z88" s="573">
        <f>$Z$7</f>
        <v>2014</v>
      </c>
      <c r="AA88" s="573"/>
      <c r="AB88" s="36"/>
      <c r="AC88" s="17"/>
      <c r="AD88" s="36"/>
      <c r="AE88" s="573">
        <f>$AE$7</f>
        <v>2013</v>
      </c>
      <c r="AF88" s="573"/>
      <c r="AG88" s="36"/>
      <c r="AH88" s="17"/>
      <c r="AI88" s="36"/>
      <c r="AJ88" s="573">
        <f>$AJ$7</f>
        <v>2012</v>
      </c>
      <c r="AK88" s="573"/>
      <c r="AL88" s="36"/>
      <c r="AM88" s="17"/>
      <c r="AN88" s="36"/>
      <c r="AO88" s="573">
        <f>$AO$7</f>
        <v>2011</v>
      </c>
      <c r="AP88" s="573"/>
      <c r="AQ88" s="36"/>
      <c r="AR88" s="17"/>
    </row>
    <row r="89" spans="2:44" ht="16.5" thickBot="1">
      <c r="B89" s="34" t="s">
        <v>67</v>
      </c>
      <c r="C89" s="35" t="e">
        <f>IF(RIGHT(#REF!,2)="12",RIGHT(#REF!,2)&amp;"M",RIGHT(#REF!,1)&amp;"M")</f>
        <v>#REF!</v>
      </c>
      <c r="E89" s="245" t="s">
        <v>528</v>
      </c>
      <c r="F89" s="245" t="s">
        <v>529</v>
      </c>
      <c r="G89" s="245" t="s">
        <v>530</v>
      </c>
      <c r="H89" s="245" t="s">
        <v>531</v>
      </c>
      <c r="J89" s="245" t="s">
        <v>528</v>
      </c>
      <c r="K89" s="245" t="s">
        <v>529</v>
      </c>
      <c r="L89" s="245" t="s">
        <v>530</v>
      </c>
      <c r="M89" s="245" t="s">
        <v>531</v>
      </c>
      <c r="O89" s="245" t="s">
        <v>528</v>
      </c>
      <c r="P89" s="245" t="s">
        <v>529</v>
      </c>
      <c r="Q89" s="245" t="s">
        <v>530</v>
      </c>
      <c r="R89" s="245" t="s">
        <v>531</v>
      </c>
      <c r="T89" s="35" t="s">
        <v>528</v>
      </c>
      <c r="U89" s="35" t="s">
        <v>529</v>
      </c>
      <c r="V89" s="35" t="s">
        <v>530</v>
      </c>
      <c r="W89" s="35" t="s">
        <v>531</v>
      </c>
      <c r="Y89" s="35" t="s">
        <v>510</v>
      </c>
      <c r="Z89" s="35" t="s">
        <v>511</v>
      </c>
      <c r="AA89" s="35" t="s">
        <v>513</v>
      </c>
      <c r="AB89" s="35" t="s">
        <v>514</v>
      </c>
      <c r="AD89" s="35" t="s">
        <v>510</v>
      </c>
      <c r="AE89" s="35" t="s">
        <v>511</v>
      </c>
      <c r="AF89" s="35" t="s">
        <v>513</v>
      </c>
      <c r="AG89" s="35" t="s">
        <v>514</v>
      </c>
      <c r="AI89" s="35" t="s">
        <v>510</v>
      </c>
      <c r="AJ89" s="35" t="s">
        <v>511</v>
      </c>
      <c r="AK89" s="35" t="s">
        <v>513</v>
      </c>
      <c r="AL89" s="35" t="s">
        <v>514</v>
      </c>
      <c r="AN89" s="35" t="s">
        <v>510</v>
      </c>
      <c r="AO89" s="35" t="s">
        <v>511</v>
      </c>
      <c r="AP89" s="35" t="s">
        <v>513</v>
      </c>
      <c r="AQ89" s="35" t="s">
        <v>514</v>
      </c>
    </row>
    <row r="90" spans="2:44" s="14" customFormat="1">
      <c r="B90" s="50" t="s">
        <v>371</v>
      </c>
      <c r="C90" s="51" t="e">
        <f>(#REF!)/1000</f>
        <v>#REF!</v>
      </c>
      <c r="D90" s="21"/>
      <c r="E90" s="230">
        <v>308.26799999999997</v>
      </c>
      <c r="F90" s="230">
        <v>653.95080700000005</v>
      </c>
      <c r="G90" s="230">
        <v>1097.1967007599999</v>
      </c>
      <c r="H90" s="230" t="e">
        <f>IF(AND($F$7=VALUE($C$4),H$8=$C$8),$C90,0)</f>
        <v>#REF!</v>
      </c>
      <c r="I90" s="21"/>
      <c r="J90" s="230">
        <v>314.53500000000003</v>
      </c>
      <c r="K90" s="230">
        <v>615.17502300000001</v>
      </c>
      <c r="L90" s="230">
        <v>913.53843299999994</v>
      </c>
      <c r="M90" s="230">
        <v>1196.0727160000001</v>
      </c>
      <c r="N90" s="21"/>
      <c r="O90" s="230">
        <v>318.60300000000001</v>
      </c>
      <c r="P90" s="230">
        <v>660.9624</v>
      </c>
      <c r="Q90" s="230">
        <v>1009.35</v>
      </c>
      <c r="R90" s="230">
        <v>1368.1096010000001</v>
      </c>
      <c r="S90" s="21"/>
      <c r="T90" s="230">
        <v>334.88499999999999</v>
      </c>
      <c r="U90" s="230">
        <v>671.64708589999998</v>
      </c>
      <c r="V90" s="230">
        <v>1003.8858044999999</v>
      </c>
      <c r="W90" s="230">
        <v>1329.5402600999998</v>
      </c>
      <c r="X90" s="21"/>
      <c r="Y90" s="51">
        <f t="shared" ref="Y90:Y102" si="73">+E90</f>
        <v>308.26799999999997</v>
      </c>
      <c r="Z90" s="51">
        <f t="shared" ref="Z90:AB102" si="74">+F90-E90</f>
        <v>345.68280700000008</v>
      </c>
      <c r="AA90" s="51">
        <f t="shared" si="74"/>
        <v>443.24589375999983</v>
      </c>
      <c r="AB90" s="51" t="e">
        <f t="shared" si="74"/>
        <v>#REF!</v>
      </c>
      <c r="AC90" s="21"/>
      <c r="AD90" s="51">
        <f t="shared" ref="AD90:AD102" si="75">+J90</f>
        <v>314.53500000000003</v>
      </c>
      <c r="AE90" s="51">
        <f t="shared" ref="AE90:AG102" si="76">+K90-J90</f>
        <v>300.64002299999999</v>
      </c>
      <c r="AF90" s="51">
        <f t="shared" si="76"/>
        <v>298.36340999999993</v>
      </c>
      <c r="AG90" s="51">
        <f t="shared" si="76"/>
        <v>282.53428300000019</v>
      </c>
      <c r="AH90" s="21"/>
      <c r="AI90" s="51">
        <f t="shared" ref="AI90:AI102" si="77">+O90</f>
        <v>318.60300000000001</v>
      </c>
      <c r="AJ90" s="51">
        <f t="shared" ref="AJ90:AL102" si="78">+P90-O90</f>
        <v>342.35939999999999</v>
      </c>
      <c r="AK90" s="51">
        <f t="shared" si="78"/>
        <v>348.38760000000002</v>
      </c>
      <c r="AL90" s="51">
        <f t="shared" si="78"/>
        <v>358.75960100000009</v>
      </c>
      <c r="AM90" s="21"/>
      <c r="AN90" s="51">
        <f t="shared" ref="AN90:AN102" si="79">+T90</f>
        <v>334.88499999999999</v>
      </c>
      <c r="AO90" s="51">
        <f t="shared" ref="AO90:AQ102" si="80">+U90-T90</f>
        <v>336.76208589999999</v>
      </c>
      <c r="AP90" s="51">
        <f t="shared" si="80"/>
        <v>332.23871859999997</v>
      </c>
      <c r="AQ90" s="51">
        <f t="shared" si="80"/>
        <v>325.65445559999989</v>
      </c>
      <c r="AR90" s="21"/>
    </row>
    <row r="91" spans="2:44" s="14" customFormat="1">
      <c r="B91" s="16" t="s">
        <v>372</v>
      </c>
      <c r="C91" s="51" t="e">
        <f>(#REF!)/1000</f>
        <v>#REF!</v>
      </c>
      <c r="D91" s="21"/>
      <c r="E91" s="233">
        <v>131.93165335999998</v>
      </c>
      <c r="F91" s="233">
        <v>284.09319285999999</v>
      </c>
      <c r="G91" s="233">
        <v>443.08329924000003</v>
      </c>
      <c r="H91" s="233" t="e">
        <f t="shared" ref="H91" si="81">IF(AND($F$7=VALUE($C$4),H$8=$C$8),$C91,0)</f>
        <v>#REF!</v>
      </c>
      <c r="I91" s="21"/>
      <c r="J91" s="233">
        <v>129.16111301999999</v>
      </c>
      <c r="K91" s="233">
        <v>260.60099995000002</v>
      </c>
      <c r="L91" s="233">
        <v>396.13358683999996</v>
      </c>
      <c r="M91" s="233">
        <v>533.86767227999997</v>
      </c>
      <c r="N91" s="21"/>
      <c r="O91" s="233">
        <v>131.298396</v>
      </c>
      <c r="P91" s="233">
        <v>274.24882181999999</v>
      </c>
      <c r="Q91" s="233">
        <v>416.37663382</v>
      </c>
      <c r="R91" s="233">
        <v>553.2968879</v>
      </c>
      <c r="S91" s="21"/>
      <c r="T91" s="233">
        <v>136.759038</v>
      </c>
      <c r="U91" s="233">
        <v>282.928428</v>
      </c>
      <c r="V91" s="233">
        <v>435.80368712000001</v>
      </c>
      <c r="W91" s="233">
        <v>571.65430700000002</v>
      </c>
      <c r="X91" s="21"/>
      <c r="Y91" s="19">
        <f t="shared" si="73"/>
        <v>131.93165335999998</v>
      </c>
      <c r="Z91" s="19">
        <f t="shared" si="74"/>
        <v>152.1615395</v>
      </c>
      <c r="AA91" s="19">
        <f t="shared" si="74"/>
        <v>158.99010638000004</v>
      </c>
      <c r="AB91" s="19" t="e">
        <f t="shared" si="74"/>
        <v>#REF!</v>
      </c>
      <c r="AC91" s="21"/>
      <c r="AD91" s="19">
        <f t="shared" si="75"/>
        <v>129.16111301999999</v>
      </c>
      <c r="AE91" s="19">
        <f t="shared" si="76"/>
        <v>131.43988693000003</v>
      </c>
      <c r="AF91" s="19">
        <f t="shared" si="76"/>
        <v>135.53258688999995</v>
      </c>
      <c r="AG91" s="19">
        <f t="shared" si="76"/>
        <v>137.73408544</v>
      </c>
      <c r="AH91" s="21"/>
      <c r="AI91" s="19">
        <f t="shared" si="77"/>
        <v>131.298396</v>
      </c>
      <c r="AJ91" s="19">
        <f t="shared" si="78"/>
        <v>142.95042581999999</v>
      </c>
      <c r="AK91" s="19">
        <f t="shared" si="78"/>
        <v>142.12781200000001</v>
      </c>
      <c r="AL91" s="19">
        <f t="shared" si="78"/>
        <v>136.92025408000001</v>
      </c>
      <c r="AM91" s="21"/>
      <c r="AN91" s="19">
        <f t="shared" si="79"/>
        <v>136.759038</v>
      </c>
      <c r="AO91" s="19">
        <f t="shared" si="80"/>
        <v>146.16938999999999</v>
      </c>
      <c r="AP91" s="19">
        <f t="shared" si="80"/>
        <v>152.87525912000001</v>
      </c>
      <c r="AQ91" s="19">
        <f t="shared" si="80"/>
        <v>135.85061988000001</v>
      </c>
      <c r="AR91" s="21"/>
    </row>
    <row r="92" spans="2:44" ht="15.75">
      <c r="B92" s="42" t="s">
        <v>417</v>
      </c>
      <c r="C92" s="43" t="e">
        <f>+C90+C91</f>
        <v>#REF!</v>
      </c>
      <c r="D92" s="23"/>
      <c r="E92" s="43">
        <v>440.19965335999996</v>
      </c>
      <c r="F92" s="43">
        <v>938.04399985999999</v>
      </c>
      <c r="G92" s="43">
        <v>1540.28</v>
      </c>
      <c r="H92" s="43" t="e">
        <f>+H90+H91</f>
        <v>#REF!</v>
      </c>
      <c r="I92" s="23"/>
      <c r="J92" s="43">
        <f>+J90+J91</f>
        <v>443.69611301999998</v>
      </c>
      <c r="K92" s="43">
        <f>+K90+K91</f>
        <v>875.77602294999997</v>
      </c>
      <c r="L92" s="43">
        <f>+L90+L91</f>
        <v>1309.6720198399998</v>
      </c>
      <c r="M92" s="43">
        <v>1729.9403882800002</v>
      </c>
      <c r="N92" s="23"/>
      <c r="O92" s="43">
        <f>+O90+O91</f>
        <v>449.90139599999998</v>
      </c>
      <c r="P92" s="43">
        <f>+P90+P91</f>
        <v>935.21122181999999</v>
      </c>
      <c r="Q92" s="43">
        <f>+Q90+Q91</f>
        <v>1425.72663382</v>
      </c>
      <c r="R92" s="43">
        <f>+R90+R91</f>
        <v>1921.4064889000001</v>
      </c>
      <c r="S92" s="23"/>
      <c r="T92" s="43">
        <v>471.64403800000002</v>
      </c>
      <c r="U92" s="43">
        <v>954.57551390000003</v>
      </c>
      <c r="V92" s="43">
        <v>1439.6894916199999</v>
      </c>
      <c r="W92" s="43">
        <v>1901.1945670999999</v>
      </c>
      <c r="X92" s="23"/>
      <c r="Y92" s="43">
        <f t="shared" si="73"/>
        <v>440.19965335999996</v>
      </c>
      <c r="Z92" s="43">
        <f t="shared" si="74"/>
        <v>497.84434650000003</v>
      </c>
      <c r="AA92" s="43">
        <f t="shared" si="74"/>
        <v>602.23600013999999</v>
      </c>
      <c r="AB92" s="43" t="e">
        <f t="shared" si="74"/>
        <v>#REF!</v>
      </c>
      <c r="AC92" s="23"/>
      <c r="AD92" s="43">
        <f t="shared" si="75"/>
        <v>443.69611301999998</v>
      </c>
      <c r="AE92" s="43">
        <f t="shared" si="76"/>
        <v>432.07990992999999</v>
      </c>
      <c r="AF92" s="43">
        <f t="shared" si="76"/>
        <v>433.89599688999988</v>
      </c>
      <c r="AG92" s="43">
        <f t="shared" si="76"/>
        <v>420.26836844000036</v>
      </c>
      <c r="AH92" s="23"/>
      <c r="AI92" s="43">
        <f t="shared" si="77"/>
        <v>449.90139599999998</v>
      </c>
      <c r="AJ92" s="43">
        <f t="shared" si="78"/>
        <v>485.30982582000001</v>
      </c>
      <c r="AK92" s="43">
        <f t="shared" si="78"/>
        <v>490.51541199999997</v>
      </c>
      <c r="AL92" s="43">
        <f t="shared" si="78"/>
        <v>495.67985508000015</v>
      </c>
      <c r="AM92" s="23"/>
      <c r="AN92" s="43">
        <f t="shared" si="79"/>
        <v>471.64403800000002</v>
      </c>
      <c r="AO92" s="43">
        <f t="shared" si="80"/>
        <v>482.93147590000001</v>
      </c>
      <c r="AP92" s="43">
        <f t="shared" si="80"/>
        <v>485.11397771999987</v>
      </c>
      <c r="AQ92" s="43">
        <f t="shared" si="80"/>
        <v>461.50507547999996</v>
      </c>
      <c r="AR92" s="23"/>
    </row>
    <row r="93" spans="2:44" s="14" customFormat="1" ht="15.75">
      <c r="B93" s="42" t="s">
        <v>486</v>
      </c>
      <c r="C93" s="43" t="e">
        <f>(+#REF!)/1000</f>
        <v>#REF!</v>
      </c>
      <c r="D93" s="23"/>
      <c r="E93" s="234">
        <v>12.106155725199999</v>
      </c>
      <c r="F93" s="234">
        <v>29.164065037199901</v>
      </c>
      <c r="G93" s="234">
        <v>49.757150637699993</v>
      </c>
      <c r="H93" s="234" t="e">
        <f t="shared" ref="H93:H96" si="82">IF(AND($F$7=VALUE($C$4),H$8=$C$8),$C93,0)</f>
        <v>#REF!</v>
      </c>
      <c r="I93" s="23"/>
      <c r="J93" s="234">
        <v>16.219622622999999</v>
      </c>
      <c r="K93" s="234">
        <v>30.8467037869999</v>
      </c>
      <c r="L93" s="234">
        <v>54.784087341000102</v>
      </c>
      <c r="M93" s="234">
        <v>71.379253071300411</v>
      </c>
      <c r="N93" s="23"/>
      <c r="O93" s="234">
        <v>21.790652733399998</v>
      </c>
      <c r="P93" s="234">
        <v>41.721471558399998</v>
      </c>
      <c r="Q93" s="234">
        <v>63.021245196891506</v>
      </c>
      <c r="R93" s="234">
        <v>90.729655656023695</v>
      </c>
      <c r="S93" s="23"/>
      <c r="T93" s="234">
        <v>19.683453399999998</v>
      </c>
      <c r="U93" s="234">
        <v>39.364626899999998</v>
      </c>
      <c r="V93" s="234">
        <v>66.065866089999801</v>
      </c>
      <c r="W93" s="234">
        <v>84.281609299300001</v>
      </c>
      <c r="X93" s="23"/>
      <c r="Y93" s="44">
        <f t="shared" si="73"/>
        <v>12.106155725199999</v>
      </c>
      <c r="Z93" s="44">
        <f t="shared" si="74"/>
        <v>17.0579093119999</v>
      </c>
      <c r="AA93" s="44">
        <f t="shared" si="74"/>
        <v>20.593085600500093</v>
      </c>
      <c r="AB93" s="44" t="e">
        <f t="shared" si="74"/>
        <v>#REF!</v>
      </c>
      <c r="AC93" s="23"/>
      <c r="AD93" s="44">
        <f t="shared" si="75"/>
        <v>16.219622622999999</v>
      </c>
      <c r="AE93" s="44">
        <f t="shared" si="76"/>
        <v>14.6270811639999</v>
      </c>
      <c r="AF93" s="44">
        <f t="shared" si="76"/>
        <v>23.937383554000203</v>
      </c>
      <c r="AG93" s="44">
        <f t="shared" si="76"/>
        <v>16.595165730300309</v>
      </c>
      <c r="AH93" s="23"/>
      <c r="AI93" s="44">
        <f t="shared" si="77"/>
        <v>21.790652733399998</v>
      </c>
      <c r="AJ93" s="44">
        <f t="shared" si="78"/>
        <v>19.930818824999999</v>
      </c>
      <c r="AK93" s="44">
        <f t="shared" si="78"/>
        <v>21.299773638491509</v>
      </c>
      <c r="AL93" s="44">
        <f t="shared" si="78"/>
        <v>27.708410459132189</v>
      </c>
      <c r="AM93" s="23"/>
      <c r="AN93" s="44">
        <f t="shared" si="79"/>
        <v>19.683453399999998</v>
      </c>
      <c r="AO93" s="44">
        <f t="shared" si="80"/>
        <v>19.6811735</v>
      </c>
      <c r="AP93" s="44">
        <f t="shared" si="80"/>
        <v>26.701239189999804</v>
      </c>
      <c r="AQ93" s="44">
        <f t="shared" si="80"/>
        <v>18.2157432093002</v>
      </c>
      <c r="AR93" s="23"/>
    </row>
    <row r="94" spans="2:44" s="14" customFormat="1">
      <c r="B94" s="50" t="s">
        <v>470</v>
      </c>
      <c r="C94" s="46" t="e">
        <f>(SUM(#REF!)/1000)</f>
        <v>#REF!</v>
      </c>
      <c r="D94" s="21"/>
      <c r="E94" s="231">
        <v>0</v>
      </c>
      <c r="F94" s="231">
        <v>0</v>
      </c>
      <c r="G94" s="231">
        <v>0</v>
      </c>
      <c r="H94" s="231" t="e">
        <f t="shared" si="82"/>
        <v>#REF!</v>
      </c>
      <c r="I94" s="21"/>
      <c r="J94" s="231">
        <v>0</v>
      </c>
      <c r="K94" s="231">
        <v>0</v>
      </c>
      <c r="L94" s="231">
        <v>0</v>
      </c>
      <c r="M94" s="231">
        <v>0</v>
      </c>
      <c r="N94" s="21"/>
      <c r="O94" s="231">
        <v>0</v>
      </c>
      <c r="P94" s="231">
        <v>0</v>
      </c>
      <c r="Q94" s="231">
        <v>3.7080000000000002</v>
      </c>
      <c r="R94" s="231">
        <v>3.70804</v>
      </c>
      <c r="S94" s="21"/>
      <c r="T94" s="231">
        <v>0</v>
      </c>
      <c r="U94" s="231">
        <v>0</v>
      </c>
      <c r="V94" s="231">
        <v>4.6970000000000001</v>
      </c>
      <c r="W94" s="231">
        <v>4.6970000000000001</v>
      </c>
      <c r="X94" s="21"/>
      <c r="Y94" s="46">
        <f t="shared" si="73"/>
        <v>0</v>
      </c>
      <c r="Z94" s="46">
        <f t="shared" si="74"/>
        <v>0</v>
      </c>
      <c r="AA94" s="46">
        <f t="shared" si="74"/>
        <v>0</v>
      </c>
      <c r="AB94" s="46" t="e">
        <f t="shared" si="74"/>
        <v>#REF!</v>
      </c>
      <c r="AC94" s="21"/>
      <c r="AD94" s="46">
        <f t="shared" si="75"/>
        <v>0</v>
      </c>
      <c r="AE94" s="46">
        <f t="shared" si="76"/>
        <v>0</v>
      </c>
      <c r="AF94" s="46">
        <f t="shared" si="76"/>
        <v>0</v>
      </c>
      <c r="AG94" s="46">
        <f t="shared" si="76"/>
        <v>0</v>
      </c>
      <c r="AH94" s="21"/>
      <c r="AI94" s="46">
        <f t="shared" si="77"/>
        <v>0</v>
      </c>
      <c r="AJ94" s="46">
        <f t="shared" si="78"/>
        <v>0</v>
      </c>
      <c r="AK94" s="46">
        <f t="shared" si="78"/>
        <v>3.7080000000000002</v>
      </c>
      <c r="AL94" s="46">
        <f t="shared" si="78"/>
        <v>3.9999999999817959E-5</v>
      </c>
      <c r="AM94" s="21"/>
      <c r="AN94" s="46">
        <f t="shared" si="79"/>
        <v>0</v>
      </c>
      <c r="AO94" s="46">
        <f t="shared" si="80"/>
        <v>0</v>
      </c>
      <c r="AP94" s="46">
        <f t="shared" si="80"/>
        <v>4.6970000000000001</v>
      </c>
      <c r="AQ94" s="46">
        <f t="shared" si="80"/>
        <v>0</v>
      </c>
      <c r="AR94" s="21"/>
    </row>
    <row r="95" spans="2:44" s="14" customFormat="1">
      <c r="B95" s="50" t="s">
        <v>487</v>
      </c>
      <c r="C95" s="51" t="e">
        <f>(+#REF!)/1000</f>
        <v>#REF!</v>
      </c>
      <c r="D95" s="21"/>
      <c r="E95" s="230">
        <v>-0.95799999999999996</v>
      </c>
      <c r="F95" s="230">
        <v>-1.7030000000000001</v>
      </c>
      <c r="G95" s="230">
        <v>-1.702769</v>
      </c>
      <c r="H95" s="230" t="e">
        <f t="shared" si="82"/>
        <v>#REF!</v>
      </c>
      <c r="I95" s="21"/>
      <c r="J95" s="230">
        <v>0</v>
      </c>
      <c r="K95" s="230">
        <v>0</v>
      </c>
      <c r="L95" s="230">
        <v>0</v>
      </c>
      <c r="M95" s="230">
        <v>0</v>
      </c>
      <c r="N95" s="21"/>
      <c r="O95" s="230">
        <v>0</v>
      </c>
      <c r="P95" s="230">
        <v>0</v>
      </c>
      <c r="Q95" s="230">
        <v>0</v>
      </c>
      <c r="R95" s="230">
        <v>-12.990477</v>
      </c>
      <c r="S95" s="21"/>
      <c r="T95" s="230">
        <v>0</v>
      </c>
      <c r="U95" s="230">
        <v>0</v>
      </c>
      <c r="V95" s="230">
        <v>0</v>
      </c>
      <c r="W95" s="230">
        <v>0</v>
      </c>
      <c r="X95" s="21"/>
      <c r="Y95" s="51">
        <f t="shared" si="73"/>
        <v>-0.95799999999999996</v>
      </c>
      <c r="Z95" s="51">
        <f t="shared" si="74"/>
        <v>-0.74500000000000011</v>
      </c>
      <c r="AA95" s="51">
        <f t="shared" si="74"/>
        <v>2.3100000000009224E-4</v>
      </c>
      <c r="AB95" s="51" t="e">
        <f t="shared" si="74"/>
        <v>#REF!</v>
      </c>
      <c r="AC95" s="21"/>
      <c r="AD95" s="51">
        <f t="shared" si="75"/>
        <v>0</v>
      </c>
      <c r="AE95" s="51">
        <f t="shared" si="76"/>
        <v>0</v>
      </c>
      <c r="AF95" s="51">
        <f t="shared" si="76"/>
        <v>0</v>
      </c>
      <c r="AG95" s="51">
        <f t="shared" si="76"/>
        <v>0</v>
      </c>
      <c r="AH95" s="21"/>
      <c r="AI95" s="51">
        <f t="shared" si="77"/>
        <v>0</v>
      </c>
      <c r="AJ95" s="51">
        <f t="shared" si="78"/>
        <v>0</v>
      </c>
      <c r="AK95" s="51">
        <f t="shared" si="78"/>
        <v>0</v>
      </c>
      <c r="AL95" s="51">
        <f t="shared" si="78"/>
        <v>-12.990477</v>
      </c>
      <c r="AM95" s="21"/>
      <c r="AN95" s="51">
        <f t="shared" si="79"/>
        <v>0</v>
      </c>
      <c r="AO95" s="51">
        <f t="shared" si="80"/>
        <v>0</v>
      </c>
      <c r="AP95" s="51">
        <f t="shared" si="80"/>
        <v>0</v>
      </c>
      <c r="AQ95" s="51">
        <f t="shared" si="80"/>
        <v>0</v>
      </c>
      <c r="AR95" s="21"/>
    </row>
    <row r="96" spans="2:44" s="14" customFormat="1">
      <c r="B96" s="50" t="s">
        <v>488</v>
      </c>
      <c r="C96" s="51" t="e">
        <f>(+#REF!)/1000</f>
        <v>#REF!</v>
      </c>
      <c r="D96" s="21"/>
      <c r="E96" s="230">
        <v>0</v>
      </c>
      <c r="F96" s="230">
        <v>0</v>
      </c>
      <c r="G96" s="230">
        <v>0</v>
      </c>
      <c r="H96" s="230" t="e">
        <f t="shared" si="82"/>
        <v>#REF!</v>
      </c>
      <c r="I96" s="21"/>
      <c r="J96" s="230">
        <v>0</v>
      </c>
      <c r="K96" s="230">
        <v>0</v>
      </c>
      <c r="L96" s="230">
        <v>0</v>
      </c>
      <c r="M96" s="230">
        <v>0</v>
      </c>
      <c r="N96" s="21"/>
      <c r="O96" s="230">
        <v>0</v>
      </c>
      <c r="P96" s="230">
        <v>0</v>
      </c>
      <c r="Q96" s="230">
        <v>0</v>
      </c>
      <c r="R96" s="230">
        <v>0</v>
      </c>
      <c r="S96" s="21"/>
      <c r="T96" s="230">
        <v>0</v>
      </c>
      <c r="U96" s="230">
        <v>0</v>
      </c>
      <c r="V96" s="230">
        <v>0</v>
      </c>
      <c r="W96" s="230">
        <v>0</v>
      </c>
      <c r="X96" s="21"/>
      <c r="Y96" s="51">
        <f>+E96</f>
        <v>0</v>
      </c>
      <c r="Z96" s="51">
        <f>+F96-E96</f>
        <v>0</v>
      </c>
      <c r="AA96" s="51">
        <f>+G96-F96</f>
        <v>0</v>
      </c>
      <c r="AB96" s="51" t="e">
        <f>+H96-G96</f>
        <v>#REF!</v>
      </c>
      <c r="AC96" s="21"/>
      <c r="AD96" s="51">
        <f t="shared" si="75"/>
        <v>0</v>
      </c>
      <c r="AE96" s="51">
        <f t="shared" si="76"/>
        <v>0</v>
      </c>
      <c r="AF96" s="51">
        <f t="shared" si="76"/>
        <v>0</v>
      </c>
      <c r="AG96" s="51">
        <f t="shared" si="76"/>
        <v>0</v>
      </c>
      <c r="AH96" s="21"/>
      <c r="AI96" s="51">
        <f t="shared" si="77"/>
        <v>0</v>
      </c>
      <c r="AJ96" s="51">
        <f t="shared" si="78"/>
        <v>0</v>
      </c>
      <c r="AK96" s="51">
        <f t="shared" si="78"/>
        <v>0</v>
      </c>
      <c r="AL96" s="51">
        <f t="shared" si="78"/>
        <v>0</v>
      </c>
      <c r="AM96" s="21"/>
      <c r="AN96" s="51">
        <f t="shared" si="79"/>
        <v>0</v>
      </c>
      <c r="AO96" s="51">
        <f t="shared" si="80"/>
        <v>0</v>
      </c>
      <c r="AP96" s="51">
        <f t="shared" si="80"/>
        <v>0</v>
      </c>
      <c r="AQ96" s="51">
        <f t="shared" si="80"/>
        <v>0</v>
      </c>
      <c r="AR96" s="21"/>
    </row>
    <row r="97" spans="2:44" s="14" customFormat="1">
      <c r="B97" s="50" t="s">
        <v>558</v>
      </c>
      <c r="C97" s="51" t="e">
        <f>(+#REF!)/1000</f>
        <v>#REF!</v>
      </c>
      <c r="D97" s="21"/>
      <c r="E97" s="55"/>
      <c r="F97" s="55"/>
      <c r="G97" s="55"/>
      <c r="H97" s="55"/>
      <c r="I97" s="21"/>
      <c r="J97" s="55"/>
      <c r="K97" s="55"/>
      <c r="L97" s="55"/>
      <c r="M97" s="55"/>
      <c r="N97" s="21"/>
      <c r="O97" s="230">
        <v>0</v>
      </c>
      <c r="P97" s="230">
        <v>0</v>
      </c>
      <c r="Q97" s="230">
        <v>0</v>
      </c>
      <c r="R97" s="230">
        <v>-0.1067</v>
      </c>
      <c r="S97" s="21"/>
      <c r="T97" s="230">
        <v>0</v>
      </c>
      <c r="U97" s="230">
        <v>0</v>
      </c>
      <c r="V97" s="230">
        <v>0</v>
      </c>
      <c r="W97" s="230">
        <v>0</v>
      </c>
      <c r="X97" s="21"/>
      <c r="Y97" s="51">
        <f t="shared" si="73"/>
        <v>0</v>
      </c>
      <c r="Z97" s="51">
        <f t="shared" si="74"/>
        <v>0</v>
      </c>
      <c r="AA97" s="51">
        <f t="shared" si="74"/>
        <v>0</v>
      </c>
      <c r="AB97" s="51">
        <f t="shared" si="74"/>
        <v>0</v>
      </c>
      <c r="AC97" s="21"/>
      <c r="AD97" s="51">
        <f t="shared" si="75"/>
        <v>0</v>
      </c>
      <c r="AE97" s="51">
        <f t="shared" si="76"/>
        <v>0</v>
      </c>
      <c r="AF97" s="51">
        <f t="shared" si="76"/>
        <v>0</v>
      </c>
      <c r="AG97" s="51">
        <f t="shared" si="76"/>
        <v>0</v>
      </c>
      <c r="AH97" s="21"/>
      <c r="AI97" s="51">
        <f t="shared" si="77"/>
        <v>0</v>
      </c>
      <c r="AJ97" s="51">
        <f t="shared" si="78"/>
        <v>0</v>
      </c>
      <c r="AK97" s="51">
        <f t="shared" si="78"/>
        <v>0</v>
      </c>
      <c r="AL97" s="51">
        <f t="shared" si="78"/>
        <v>-0.1067</v>
      </c>
      <c r="AM97" s="21"/>
      <c r="AN97" s="51">
        <f t="shared" si="79"/>
        <v>0</v>
      </c>
      <c r="AO97" s="51">
        <f t="shared" si="80"/>
        <v>0</v>
      </c>
      <c r="AP97" s="51">
        <f t="shared" si="80"/>
        <v>0</v>
      </c>
      <c r="AQ97" s="51">
        <f t="shared" si="80"/>
        <v>0</v>
      </c>
      <c r="AR97" s="21"/>
    </row>
    <row r="98" spans="2:44" s="14" customFormat="1">
      <c r="B98" s="39" t="s">
        <v>489</v>
      </c>
      <c r="C98" s="51" t="e">
        <f>(+#REF!)/1000</f>
        <v>#REF!</v>
      </c>
      <c r="D98" s="21"/>
      <c r="E98" s="40">
        <v>-0.95799999999999996</v>
      </c>
      <c r="F98" s="40">
        <v>-1.7030000000000001</v>
      </c>
      <c r="G98" s="40">
        <v>-1.702769</v>
      </c>
      <c r="H98" s="40" t="e">
        <f t="shared" ref="H98" si="83">+H94+H95+H96+H97</f>
        <v>#REF!</v>
      </c>
      <c r="I98" s="21"/>
      <c r="J98" s="40">
        <f t="shared" ref="J98:L98" si="84">+J94+J95+J96+J97</f>
        <v>0</v>
      </c>
      <c r="K98" s="40">
        <f t="shared" si="84"/>
        <v>0</v>
      </c>
      <c r="L98" s="40">
        <f t="shared" si="84"/>
        <v>0</v>
      </c>
      <c r="M98" s="40">
        <v>0</v>
      </c>
      <c r="N98" s="21"/>
      <c r="O98" s="40">
        <f t="shared" ref="O98:R98" si="85">+O94+O95+O96+O97</f>
        <v>0</v>
      </c>
      <c r="P98" s="40">
        <f t="shared" si="85"/>
        <v>0</v>
      </c>
      <c r="Q98" s="40">
        <f t="shared" si="85"/>
        <v>3.7080000000000002</v>
      </c>
      <c r="R98" s="40">
        <f t="shared" si="85"/>
        <v>-9.3891369999999998</v>
      </c>
      <c r="S98" s="21"/>
      <c r="T98" s="40">
        <v>0</v>
      </c>
      <c r="U98" s="40">
        <v>0</v>
      </c>
      <c r="V98" s="40">
        <v>4.6970000000000001</v>
      </c>
      <c r="W98" s="40">
        <v>4.6970000000000001</v>
      </c>
      <c r="X98" s="21"/>
      <c r="Y98" s="40">
        <f t="shared" si="73"/>
        <v>-0.95799999999999996</v>
      </c>
      <c r="Z98" s="40">
        <f t="shared" si="74"/>
        <v>-0.74500000000000011</v>
      </c>
      <c r="AA98" s="40">
        <f t="shared" si="74"/>
        <v>2.3100000000009224E-4</v>
      </c>
      <c r="AB98" s="40" t="e">
        <f t="shared" si="74"/>
        <v>#REF!</v>
      </c>
      <c r="AC98" s="21"/>
      <c r="AD98" s="40">
        <f t="shared" si="75"/>
        <v>0</v>
      </c>
      <c r="AE98" s="40">
        <f t="shared" si="76"/>
        <v>0</v>
      </c>
      <c r="AF98" s="40">
        <f t="shared" si="76"/>
        <v>0</v>
      </c>
      <c r="AG98" s="40">
        <f t="shared" si="76"/>
        <v>0</v>
      </c>
      <c r="AH98" s="21"/>
      <c r="AI98" s="40">
        <f t="shared" si="77"/>
        <v>0</v>
      </c>
      <c r="AJ98" s="40">
        <f t="shared" si="78"/>
        <v>0</v>
      </c>
      <c r="AK98" s="40">
        <f t="shared" si="78"/>
        <v>3.7080000000000002</v>
      </c>
      <c r="AL98" s="40">
        <f t="shared" si="78"/>
        <v>-13.097137</v>
      </c>
      <c r="AM98" s="21"/>
      <c r="AN98" s="40">
        <f t="shared" si="79"/>
        <v>0</v>
      </c>
      <c r="AO98" s="40">
        <f t="shared" si="80"/>
        <v>0</v>
      </c>
      <c r="AP98" s="40">
        <f t="shared" si="80"/>
        <v>4.6970000000000001</v>
      </c>
      <c r="AQ98" s="40">
        <f t="shared" si="80"/>
        <v>0</v>
      </c>
      <c r="AR98" s="21"/>
    </row>
    <row r="99" spans="2:44" s="14" customFormat="1" ht="15.75">
      <c r="B99" s="42" t="s">
        <v>535</v>
      </c>
      <c r="C99" s="43" t="e">
        <f>+C93+C98</f>
        <v>#REF!</v>
      </c>
      <c r="D99" s="23"/>
      <c r="E99" s="43">
        <v>11.148155725199999</v>
      </c>
      <c r="F99" s="43">
        <v>27.461065037199901</v>
      </c>
      <c r="G99" s="43">
        <v>48.05438163769999</v>
      </c>
      <c r="H99" s="43" t="e">
        <f>+H93+H98</f>
        <v>#REF!</v>
      </c>
      <c r="I99" s="23"/>
      <c r="J99" s="43">
        <f>+J93+J98</f>
        <v>16.219622622999999</v>
      </c>
      <c r="K99" s="43">
        <f>+K93+K98</f>
        <v>30.8467037869999</v>
      </c>
      <c r="L99" s="43">
        <f>+L93+L98</f>
        <v>54.784087341000102</v>
      </c>
      <c r="M99" s="43">
        <v>71.379253071300411</v>
      </c>
      <c r="N99" s="23"/>
      <c r="O99" s="43">
        <f>+O93+O98</f>
        <v>21.790652733399998</v>
      </c>
      <c r="P99" s="43">
        <f>+P93+P98</f>
        <v>41.721471558399998</v>
      </c>
      <c r="Q99" s="43">
        <f>+Q93+Q98</f>
        <v>66.729245196891512</v>
      </c>
      <c r="R99" s="43">
        <f>+R93+R98</f>
        <v>81.34051865602369</v>
      </c>
      <c r="S99" s="23"/>
      <c r="T99" s="43">
        <v>19.683453399999998</v>
      </c>
      <c r="U99" s="43">
        <v>39.364626899999998</v>
      </c>
      <c r="V99" s="43">
        <v>70.762866089999804</v>
      </c>
      <c r="W99" s="43">
        <v>88.978609299300004</v>
      </c>
      <c r="X99" s="23"/>
      <c r="Y99" s="43">
        <f t="shared" si="73"/>
        <v>11.148155725199999</v>
      </c>
      <c r="Z99" s="43">
        <f t="shared" si="74"/>
        <v>16.312909311999903</v>
      </c>
      <c r="AA99" s="43">
        <f t="shared" si="74"/>
        <v>20.593316600500088</v>
      </c>
      <c r="AB99" s="43" t="e">
        <f t="shared" si="74"/>
        <v>#REF!</v>
      </c>
      <c r="AC99" s="23"/>
      <c r="AD99" s="43">
        <f t="shared" si="75"/>
        <v>16.219622622999999</v>
      </c>
      <c r="AE99" s="43">
        <f t="shared" si="76"/>
        <v>14.6270811639999</v>
      </c>
      <c r="AF99" s="43">
        <f t="shared" si="76"/>
        <v>23.937383554000203</v>
      </c>
      <c r="AG99" s="43">
        <f t="shared" si="76"/>
        <v>16.595165730300309</v>
      </c>
      <c r="AH99" s="23"/>
      <c r="AI99" s="43">
        <f t="shared" si="77"/>
        <v>21.790652733399998</v>
      </c>
      <c r="AJ99" s="43">
        <f t="shared" si="78"/>
        <v>19.930818824999999</v>
      </c>
      <c r="AK99" s="43">
        <f t="shared" si="78"/>
        <v>25.007773638491514</v>
      </c>
      <c r="AL99" s="43">
        <f t="shared" si="78"/>
        <v>14.611273459132178</v>
      </c>
      <c r="AM99" s="23"/>
      <c r="AN99" s="43">
        <f t="shared" si="79"/>
        <v>19.683453399999998</v>
      </c>
      <c r="AO99" s="43">
        <f t="shared" si="80"/>
        <v>19.6811735</v>
      </c>
      <c r="AP99" s="43">
        <f t="shared" si="80"/>
        <v>31.398239189999806</v>
      </c>
      <c r="AQ99" s="43">
        <f t="shared" si="80"/>
        <v>18.2157432093002</v>
      </c>
      <c r="AR99" s="23"/>
    </row>
    <row r="100" spans="2:44" s="14" customFormat="1">
      <c r="B100" s="53" t="s">
        <v>602</v>
      </c>
      <c r="C100" s="46" t="e">
        <f>(+#REF!)/1000</f>
        <v>#REF!</v>
      </c>
      <c r="D100" s="21"/>
      <c r="E100" s="231">
        <v>-7.7388649999999997</v>
      </c>
      <c r="F100" s="231">
        <v>-15.76610782</v>
      </c>
      <c r="G100" s="231">
        <v>-23.172072059999998</v>
      </c>
      <c r="H100" s="231" t="e">
        <f t="shared" ref="H100:H101" si="86">IF(AND($F$7=VALUE($C$4),H$8=$C$8),$C100,0)</f>
        <v>#REF!</v>
      </c>
      <c r="I100" s="21"/>
      <c r="J100" s="231">
        <v>-3.9661044599999999</v>
      </c>
      <c r="K100" s="231">
        <v>-11.589096509999999</v>
      </c>
      <c r="L100" s="231">
        <v>-19.687227679999999</v>
      </c>
      <c r="M100" s="231">
        <v>-28.442828920000004</v>
      </c>
      <c r="N100" s="21"/>
      <c r="O100" s="231">
        <v>-4.9661</v>
      </c>
      <c r="P100" s="231">
        <v>-10.363887980000001</v>
      </c>
      <c r="Q100" s="231">
        <v>-14.30339242</v>
      </c>
      <c r="R100" s="231">
        <v>-18.175765999999999</v>
      </c>
      <c r="S100" s="21"/>
      <c r="T100" s="231">
        <v>-4.5339999999999998</v>
      </c>
      <c r="U100" s="231">
        <v>-9.3705639999999999</v>
      </c>
      <c r="V100" s="231">
        <v>-16.363</v>
      </c>
      <c r="W100" s="231">
        <v>-21.339908000000001</v>
      </c>
      <c r="X100" s="21"/>
      <c r="Y100" s="46">
        <f t="shared" si="73"/>
        <v>-7.7388649999999997</v>
      </c>
      <c r="Z100" s="46">
        <f t="shared" si="74"/>
        <v>-8.0272428200000014</v>
      </c>
      <c r="AA100" s="46">
        <f t="shared" si="74"/>
        <v>-7.4059642399999976</v>
      </c>
      <c r="AB100" s="46" t="e">
        <f t="shared" si="74"/>
        <v>#REF!</v>
      </c>
      <c r="AC100" s="21"/>
      <c r="AD100" s="46">
        <f t="shared" si="75"/>
        <v>-3.9661044599999999</v>
      </c>
      <c r="AE100" s="46">
        <f t="shared" si="76"/>
        <v>-7.6229920499999988</v>
      </c>
      <c r="AF100" s="46">
        <f t="shared" si="76"/>
        <v>-8.0981311700000003</v>
      </c>
      <c r="AG100" s="46">
        <f t="shared" si="76"/>
        <v>-8.7556012400000043</v>
      </c>
      <c r="AH100" s="21"/>
      <c r="AI100" s="46">
        <f t="shared" si="77"/>
        <v>-4.9661</v>
      </c>
      <c r="AJ100" s="46">
        <f t="shared" si="78"/>
        <v>-5.3977879800000013</v>
      </c>
      <c r="AK100" s="46">
        <f t="shared" si="78"/>
        <v>-3.9395044399999986</v>
      </c>
      <c r="AL100" s="46">
        <f t="shared" si="78"/>
        <v>-3.8723735799999996</v>
      </c>
      <c r="AM100" s="21"/>
      <c r="AN100" s="46">
        <f t="shared" si="79"/>
        <v>-4.5339999999999998</v>
      </c>
      <c r="AO100" s="46">
        <f t="shared" si="80"/>
        <v>-4.8365640000000001</v>
      </c>
      <c r="AP100" s="46">
        <f t="shared" si="80"/>
        <v>-6.9924359999999997</v>
      </c>
      <c r="AQ100" s="46">
        <f t="shared" si="80"/>
        <v>-4.9769080000000017</v>
      </c>
      <c r="AR100" s="21"/>
    </row>
    <row r="101" spans="2:44" s="14" customFormat="1">
      <c r="B101" s="154" t="s">
        <v>43</v>
      </c>
      <c r="C101" s="49" t="e">
        <f>(+#REF!)/1000</f>
        <v>#REF!</v>
      </c>
      <c r="D101" s="21"/>
      <c r="E101" s="232">
        <v>0</v>
      </c>
      <c r="F101" s="232">
        <v>0</v>
      </c>
      <c r="G101" s="232">
        <v>0</v>
      </c>
      <c r="H101" s="232" t="e">
        <f t="shared" si="86"/>
        <v>#REF!</v>
      </c>
      <c r="I101" s="21"/>
      <c r="J101" s="232">
        <v>0</v>
      </c>
      <c r="K101" s="232">
        <v>0</v>
      </c>
      <c r="L101" s="232">
        <v>0</v>
      </c>
      <c r="M101" s="232">
        <v>0</v>
      </c>
      <c r="N101" s="21"/>
      <c r="O101" s="232">
        <v>0</v>
      </c>
      <c r="P101" s="232">
        <v>0</v>
      </c>
      <c r="Q101" s="232">
        <v>0</v>
      </c>
      <c r="R101" s="232">
        <v>0</v>
      </c>
      <c r="S101" s="21"/>
      <c r="T101" s="232">
        <v>0</v>
      </c>
      <c r="U101" s="232">
        <v>0</v>
      </c>
      <c r="V101" s="232">
        <v>0</v>
      </c>
      <c r="W101" s="232">
        <v>0</v>
      </c>
      <c r="X101" s="21"/>
      <c r="Y101" s="40">
        <f t="shared" si="73"/>
        <v>0</v>
      </c>
      <c r="Z101" s="40">
        <f t="shared" si="74"/>
        <v>0</v>
      </c>
      <c r="AA101" s="40">
        <f t="shared" si="74"/>
        <v>0</v>
      </c>
      <c r="AB101" s="40" t="e">
        <f t="shared" si="74"/>
        <v>#REF!</v>
      </c>
      <c r="AC101" s="21"/>
      <c r="AD101" s="40">
        <f t="shared" si="75"/>
        <v>0</v>
      </c>
      <c r="AE101" s="40">
        <f t="shared" si="76"/>
        <v>0</v>
      </c>
      <c r="AF101" s="40">
        <f t="shared" si="76"/>
        <v>0</v>
      </c>
      <c r="AG101" s="40">
        <f t="shared" si="76"/>
        <v>0</v>
      </c>
      <c r="AH101" s="21"/>
      <c r="AI101" s="40">
        <f t="shared" si="77"/>
        <v>0</v>
      </c>
      <c r="AJ101" s="40">
        <f t="shared" si="78"/>
        <v>0</v>
      </c>
      <c r="AK101" s="40">
        <f t="shared" si="78"/>
        <v>0</v>
      </c>
      <c r="AL101" s="40">
        <f t="shared" si="78"/>
        <v>0</v>
      </c>
      <c r="AM101" s="21"/>
      <c r="AN101" s="40">
        <f t="shared" si="79"/>
        <v>0</v>
      </c>
      <c r="AO101" s="40">
        <f t="shared" si="80"/>
        <v>0</v>
      </c>
      <c r="AP101" s="40">
        <f t="shared" si="80"/>
        <v>0</v>
      </c>
      <c r="AQ101" s="40">
        <f t="shared" si="80"/>
        <v>0</v>
      </c>
      <c r="AR101" s="21"/>
    </row>
    <row r="102" spans="2:44" s="14" customFormat="1" ht="15.75">
      <c r="B102" s="42" t="s">
        <v>534</v>
      </c>
      <c r="C102" s="43" t="e">
        <f>+C99+C100+C101</f>
        <v>#REF!</v>
      </c>
      <c r="D102" s="23"/>
      <c r="E102" s="43">
        <v>3.4092907251999991</v>
      </c>
      <c r="F102" s="43">
        <v>11.694957217199901</v>
      </c>
      <c r="G102" s="43">
        <v>24.882309577699992</v>
      </c>
      <c r="H102" s="43" t="e">
        <f>+H99+H100+H101</f>
        <v>#REF!</v>
      </c>
      <c r="I102" s="23"/>
      <c r="J102" s="43">
        <f>+J99+J100+J101</f>
        <v>12.253518162999999</v>
      </c>
      <c r="K102" s="43">
        <f>+K99+K100+K101</f>
        <v>19.257607276999899</v>
      </c>
      <c r="L102" s="43">
        <f>+L99+L100+L101</f>
        <v>35.096859661000103</v>
      </c>
      <c r="M102" s="43">
        <v>42.936424151300407</v>
      </c>
      <c r="N102" s="23"/>
      <c r="O102" s="43">
        <f>+O99+O100+O101</f>
        <v>16.824552733399997</v>
      </c>
      <c r="P102" s="43">
        <f>+P99+P100+P101</f>
        <v>31.357583578399996</v>
      </c>
      <c r="Q102" s="43">
        <f>+Q99+Q100+Q101</f>
        <v>52.42585277689151</v>
      </c>
      <c r="R102" s="43">
        <f>+R99+R100+R101</f>
        <v>63.164752656023694</v>
      </c>
      <c r="S102" s="23"/>
      <c r="T102" s="43">
        <v>15.149453399999999</v>
      </c>
      <c r="U102" s="43">
        <v>29.994062899999996</v>
      </c>
      <c r="V102" s="43">
        <v>54.399866089999804</v>
      </c>
      <c r="W102" s="43">
        <v>67.63870129930001</v>
      </c>
      <c r="X102" s="23"/>
      <c r="Y102" s="43">
        <f t="shared" si="73"/>
        <v>3.4092907251999991</v>
      </c>
      <c r="Z102" s="43">
        <f t="shared" si="74"/>
        <v>8.2856664919999012</v>
      </c>
      <c r="AA102" s="43">
        <f t="shared" si="74"/>
        <v>13.187352360500091</v>
      </c>
      <c r="AB102" s="43" t="e">
        <f t="shared" si="74"/>
        <v>#REF!</v>
      </c>
      <c r="AC102" s="23"/>
      <c r="AD102" s="43">
        <f t="shared" si="75"/>
        <v>12.253518162999999</v>
      </c>
      <c r="AE102" s="43">
        <f t="shared" si="76"/>
        <v>7.0040891139998998</v>
      </c>
      <c r="AF102" s="43">
        <f t="shared" si="76"/>
        <v>15.839252384000204</v>
      </c>
      <c r="AG102" s="43">
        <f t="shared" si="76"/>
        <v>7.8395644903003046</v>
      </c>
      <c r="AH102" s="23"/>
      <c r="AI102" s="43">
        <f t="shared" si="77"/>
        <v>16.824552733399997</v>
      </c>
      <c r="AJ102" s="43">
        <f t="shared" si="78"/>
        <v>14.533030844999999</v>
      </c>
      <c r="AK102" s="43">
        <f t="shared" si="78"/>
        <v>21.068269198491514</v>
      </c>
      <c r="AL102" s="43">
        <f t="shared" si="78"/>
        <v>10.738899879132184</v>
      </c>
      <c r="AM102" s="23"/>
      <c r="AN102" s="43">
        <f t="shared" si="79"/>
        <v>15.149453399999999</v>
      </c>
      <c r="AO102" s="43">
        <f t="shared" si="80"/>
        <v>14.844609499999997</v>
      </c>
      <c r="AP102" s="43">
        <f t="shared" si="80"/>
        <v>24.405803189999808</v>
      </c>
      <c r="AQ102" s="43">
        <f t="shared" si="80"/>
        <v>13.238835209300206</v>
      </c>
      <c r="AR102" s="23"/>
    </row>
    <row r="103" spans="2:44" s="14" customFormat="1" ht="15.75">
      <c r="B103" s="261" t="s">
        <v>490</v>
      </c>
      <c r="C103" s="259"/>
      <c r="D103" s="23"/>
      <c r="E103" s="231">
        <v>0</v>
      </c>
      <c r="F103" s="231">
        <v>0</v>
      </c>
      <c r="G103" s="231">
        <v>0</v>
      </c>
      <c r="H103" s="231" t="e">
        <f t="shared" ref="H103:H104" si="87">IF(AND($F$7=VALUE($C$4),H$8=$C$8),$C103,0)</f>
        <v>#REF!</v>
      </c>
      <c r="I103" s="23"/>
      <c r="J103" s="231">
        <v>0</v>
      </c>
      <c r="K103" s="231">
        <v>0</v>
      </c>
      <c r="L103" s="231">
        <v>0</v>
      </c>
      <c r="M103" s="231">
        <v>0</v>
      </c>
      <c r="N103" s="23"/>
      <c r="O103" s="260"/>
      <c r="P103" s="260"/>
      <c r="Q103" s="260"/>
      <c r="R103" s="260"/>
      <c r="S103" s="23"/>
      <c r="T103" s="260"/>
      <c r="U103" s="260"/>
      <c r="V103" s="260"/>
      <c r="W103" s="260"/>
      <c r="X103" s="23"/>
      <c r="Y103" s="260"/>
      <c r="Z103" s="260"/>
      <c r="AA103" s="260"/>
      <c r="AB103" s="260"/>
      <c r="AC103" s="23"/>
      <c r="AD103" s="260"/>
      <c r="AE103" s="260"/>
      <c r="AF103" s="260"/>
      <c r="AG103" s="260"/>
      <c r="AH103" s="23"/>
      <c r="AI103" s="260"/>
      <c r="AJ103" s="260"/>
      <c r="AK103" s="260"/>
      <c r="AL103" s="260"/>
      <c r="AM103" s="23"/>
      <c r="AN103" s="260"/>
      <c r="AO103" s="260"/>
      <c r="AP103" s="260"/>
      <c r="AQ103" s="260"/>
      <c r="AR103" s="23"/>
    </row>
    <row r="104" spans="2:44" s="14" customFormat="1">
      <c r="B104" s="39" t="s">
        <v>416</v>
      </c>
      <c r="C104" s="46" t="e">
        <f>#REF!/1000</f>
        <v>#REF!</v>
      </c>
      <c r="D104" s="21"/>
      <c r="E104" s="232">
        <v>-5.8098056289999995</v>
      </c>
      <c r="F104" s="232">
        <v>1.2481653330000002</v>
      </c>
      <c r="G104" s="232">
        <v>7.7155674006999995</v>
      </c>
      <c r="H104" s="232" t="e">
        <f t="shared" si="87"/>
        <v>#REF!</v>
      </c>
      <c r="I104" s="21"/>
      <c r="J104" s="232">
        <v>10.604266195000001</v>
      </c>
      <c r="K104" s="232">
        <v>17.341473670800003</v>
      </c>
      <c r="L104" s="232">
        <v>22.866513708000003</v>
      </c>
      <c r="M104" s="232">
        <v>32.362241033700002</v>
      </c>
      <c r="N104" s="21"/>
      <c r="O104" s="232">
        <v>-5.9952020300000006</v>
      </c>
      <c r="P104" s="232">
        <v>-10.604025869999999</v>
      </c>
      <c r="Q104" s="232">
        <v>-3.5736188514</v>
      </c>
      <c r="R104" s="232">
        <v>-3.785868392736</v>
      </c>
      <c r="S104" s="21"/>
      <c r="T104" s="232">
        <v>-3.8757820000000001</v>
      </c>
      <c r="U104" s="232">
        <v>-7.074433</v>
      </c>
      <c r="V104" s="232">
        <v>10.182675960000001</v>
      </c>
      <c r="W104" s="232">
        <v>17.173982896499997</v>
      </c>
      <c r="X104" s="21"/>
      <c r="Y104" s="40">
        <f>+E104</f>
        <v>-5.8098056289999995</v>
      </c>
      <c r="Z104" s="40">
        <f t="shared" ref="Z104:AB105" si="88">+F104-E104</f>
        <v>7.0579709619999997</v>
      </c>
      <c r="AA104" s="40">
        <f t="shared" si="88"/>
        <v>6.4674020676999993</v>
      </c>
      <c r="AB104" s="40" t="e">
        <f t="shared" si="88"/>
        <v>#REF!</v>
      </c>
      <c r="AC104" s="21"/>
      <c r="AD104" s="40">
        <f>+J104</f>
        <v>10.604266195000001</v>
      </c>
      <c r="AE104" s="40">
        <f t="shared" ref="AE104:AG105" si="89">+K104-J104</f>
        <v>6.7372074758000018</v>
      </c>
      <c r="AF104" s="40">
        <f t="shared" si="89"/>
        <v>5.5250400372000001</v>
      </c>
      <c r="AG104" s="40">
        <f t="shared" si="89"/>
        <v>9.495727325699999</v>
      </c>
      <c r="AH104" s="21"/>
      <c r="AI104" s="40">
        <f>+O104</f>
        <v>-5.9952020300000006</v>
      </c>
      <c r="AJ104" s="40">
        <f t="shared" ref="AJ104:AL105" si="90">+P104-O104</f>
        <v>-4.6088238399999986</v>
      </c>
      <c r="AK104" s="40">
        <f t="shared" si="90"/>
        <v>7.0304070185999992</v>
      </c>
      <c r="AL104" s="40">
        <f t="shared" si="90"/>
        <v>-0.21224954133599994</v>
      </c>
      <c r="AM104" s="21"/>
      <c r="AN104" s="40">
        <f>+T104</f>
        <v>-3.8757820000000001</v>
      </c>
      <c r="AO104" s="40">
        <f t="shared" ref="AO104:AQ105" si="91">+U104-T104</f>
        <v>-3.1986509999999999</v>
      </c>
      <c r="AP104" s="40">
        <f t="shared" si="91"/>
        <v>17.25710896</v>
      </c>
      <c r="AQ104" s="40">
        <f t="shared" si="91"/>
        <v>6.9913069364999956</v>
      </c>
      <c r="AR104" s="21"/>
    </row>
    <row r="105" spans="2:44" s="14" customFormat="1" ht="15.75">
      <c r="B105" s="42" t="s">
        <v>491</v>
      </c>
      <c r="C105" s="43" t="e">
        <f>SUM(C102:C104)</f>
        <v>#REF!</v>
      </c>
      <c r="D105" s="23"/>
      <c r="E105" s="43">
        <v>-2.4005149038000004</v>
      </c>
      <c r="F105" s="43">
        <v>12.943122550199902</v>
      </c>
      <c r="G105" s="43">
        <v>32.597876978399995</v>
      </c>
      <c r="H105" s="43" t="e">
        <f>SUM(H102:H104)</f>
        <v>#REF!</v>
      </c>
      <c r="I105" s="23"/>
      <c r="J105" s="43">
        <f>SUM(J102:J104)</f>
        <v>22.857784358</v>
      </c>
      <c r="K105" s="43">
        <f>SUM(K102:K104)</f>
        <v>36.599080947799905</v>
      </c>
      <c r="L105" s="43">
        <f>SUM(L102:L104)</f>
        <v>57.963373369000109</v>
      </c>
      <c r="M105" s="43">
        <v>75.298665185000402</v>
      </c>
      <c r="N105" s="23"/>
      <c r="O105" s="43">
        <f>SUM(O102:O104)</f>
        <v>10.829350703399996</v>
      </c>
      <c r="P105" s="43">
        <f>SUM(P102:P104)</f>
        <v>20.753557708399995</v>
      </c>
      <c r="Q105" s="43">
        <f>SUM(Q102:Q104)</f>
        <v>48.852233925491511</v>
      </c>
      <c r="R105" s="43">
        <f>SUM(R102:R104)</f>
        <v>59.378884263287695</v>
      </c>
      <c r="S105" s="23"/>
      <c r="T105" s="43">
        <v>11.273671399999998</v>
      </c>
      <c r="U105" s="43">
        <v>22.919629899999997</v>
      </c>
      <c r="V105" s="43">
        <v>64.582542049999802</v>
      </c>
      <c r="W105" s="43">
        <v>84.812684195800003</v>
      </c>
      <c r="X105" s="23"/>
      <c r="Y105" s="43">
        <f>+E105</f>
        <v>-2.4005149038000004</v>
      </c>
      <c r="Z105" s="43">
        <f t="shared" si="88"/>
        <v>15.343637453999904</v>
      </c>
      <c r="AA105" s="43">
        <f t="shared" si="88"/>
        <v>19.654754428200093</v>
      </c>
      <c r="AB105" s="43" t="e">
        <f t="shared" si="88"/>
        <v>#REF!</v>
      </c>
      <c r="AC105" s="23"/>
      <c r="AD105" s="43">
        <f>+J105</f>
        <v>22.857784358</v>
      </c>
      <c r="AE105" s="43">
        <f t="shared" si="89"/>
        <v>13.741296589799905</v>
      </c>
      <c r="AF105" s="43">
        <f t="shared" si="89"/>
        <v>21.364292421200204</v>
      </c>
      <c r="AG105" s="43">
        <f t="shared" si="89"/>
        <v>17.335291816000293</v>
      </c>
      <c r="AH105" s="23"/>
      <c r="AI105" s="43">
        <f>+O105</f>
        <v>10.829350703399996</v>
      </c>
      <c r="AJ105" s="43">
        <f t="shared" si="90"/>
        <v>9.9242070049999995</v>
      </c>
      <c r="AK105" s="43">
        <f t="shared" si="90"/>
        <v>28.098676217091516</v>
      </c>
      <c r="AL105" s="43">
        <f t="shared" si="90"/>
        <v>10.526650337796184</v>
      </c>
      <c r="AM105" s="23"/>
      <c r="AN105" s="43">
        <f>+T105</f>
        <v>11.273671399999998</v>
      </c>
      <c r="AO105" s="43">
        <f t="shared" si="91"/>
        <v>11.645958499999999</v>
      </c>
      <c r="AP105" s="43">
        <f t="shared" si="91"/>
        <v>41.662912149999805</v>
      </c>
      <c r="AQ105" s="43">
        <f t="shared" si="91"/>
        <v>20.230142145800201</v>
      </c>
      <c r="AR105" s="23"/>
    </row>
    <row r="106" spans="2:44" s="14" customFormat="1">
      <c r="B106" s="22"/>
      <c r="C106" s="18"/>
      <c r="D106" s="65"/>
      <c r="E106" s="251">
        <v>0.77448737162267711</v>
      </c>
      <c r="F106" s="251">
        <v>1.2467386624662953</v>
      </c>
      <c r="G106" s="251">
        <v>1.6154406716765779</v>
      </c>
      <c r="H106" s="251" t="str">
        <f>IF(ISERROR(H102/H92*100)," ",H102/H92*100)</f>
        <v xml:space="preserve"> </v>
      </c>
      <c r="I106" s="65"/>
      <c r="J106" s="251">
        <f>IF(ISERROR(J102/J92*100)," ",J102/J92*100)</f>
        <v>2.7616915729995726</v>
      </c>
      <c r="K106" s="251">
        <f>IF(ISERROR(K102/K92*100)," ",K102/K92*100)</f>
        <v>2.1989192181959702</v>
      </c>
      <c r="L106" s="251">
        <f>IF(ISERROR(L102/L92*100)," ",L102/L92*100)</f>
        <v>2.6798205298214905</v>
      </c>
      <c r="M106" s="251">
        <v>2.4819597508784748</v>
      </c>
      <c r="N106" s="65"/>
      <c r="O106" s="247"/>
      <c r="P106" s="247"/>
      <c r="Q106" s="247"/>
      <c r="R106" s="247"/>
      <c r="S106" s="65"/>
      <c r="T106" s="18"/>
      <c r="U106" s="18"/>
      <c r="V106" s="18"/>
      <c r="W106" s="18"/>
      <c r="X106" s="65"/>
      <c r="AC106" s="65"/>
      <c r="AH106" s="65"/>
      <c r="AM106" s="65"/>
      <c r="AR106" s="65"/>
    </row>
    <row r="107" spans="2:44" s="14" customFormat="1">
      <c r="B107" s="50" t="s">
        <v>64</v>
      </c>
      <c r="C107" s="51" t="e">
        <f>#REF!/1000</f>
        <v>#REF!</v>
      </c>
      <c r="D107" s="59"/>
      <c r="E107" s="231">
        <v>6.5149999999999997</v>
      </c>
      <c r="F107" s="231">
        <v>12.6644896</v>
      </c>
      <c r="G107" s="231">
        <v>15.7008964</v>
      </c>
      <c r="H107" s="231" t="e">
        <f t="shared" ref="H107:H108" si="92">IF(AND($F$7=VALUE($C$4),H$8=$C$8),$C107,0)</f>
        <v>#REF!</v>
      </c>
      <c r="I107" s="59"/>
      <c r="J107" s="231">
        <v>21.951000000000001</v>
      </c>
      <c r="K107" s="231">
        <v>42.398000000000003</v>
      </c>
      <c r="L107" s="231">
        <v>48.735999999999997</v>
      </c>
      <c r="M107" s="231">
        <v>45.59</v>
      </c>
      <c r="N107" s="59"/>
      <c r="O107" s="230">
        <v>13.702</v>
      </c>
      <c r="P107" s="230">
        <v>25.201000000000001</v>
      </c>
      <c r="Q107" s="230">
        <v>35.142000000000003</v>
      </c>
      <c r="R107" s="230">
        <v>64.552999999999997</v>
      </c>
      <c r="S107" s="59"/>
      <c r="T107" s="230">
        <v>7.1070180000000001</v>
      </c>
      <c r="U107" s="230">
        <v>13.221</v>
      </c>
      <c r="V107" s="230">
        <v>11.842000000000001</v>
      </c>
      <c r="W107" s="230">
        <v>20.780999999999999</v>
      </c>
      <c r="X107" s="59"/>
      <c r="Y107" s="51">
        <f>+E107</f>
        <v>6.5149999999999997</v>
      </c>
      <c r="Z107" s="51">
        <f t="shared" ref="Z107:AB108" si="93">+F107-E107</f>
        <v>6.1494895999999999</v>
      </c>
      <c r="AA107" s="51">
        <f t="shared" si="93"/>
        <v>3.0364068</v>
      </c>
      <c r="AB107" s="51" t="e">
        <f t="shared" si="93"/>
        <v>#REF!</v>
      </c>
      <c r="AC107" s="59"/>
      <c r="AD107" s="51">
        <f>+J107</f>
        <v>21.951000000000001</v>
      </c>
      <c r="AE107" s="51">
        <f t="shared" ref="AE107:AG108" si="94">+K107-J107</f>
        <v>20.447000000000003</v>
      </c>
      <c r="AF107" s="51">
        <f t="shared" si="94"/>
        <v>6.3379999999999939</v>
      </c>
      <c r="AG107" s="51">
        <f t="shared" si="94"/>
        <v>-3.1459999999999937</v>
      </c>
      <c r="AH107" s="59"/>
      <c r="AI107" s="51">
        <f>+O107</f>
        <v>13.702</v>
      </c>
      <c r="AJ107" s="51">
        <f t="shared" ref="AJ107:AL108" si="95">+P107-O107</f>
        <v>11.499000000000001</v>
      </c>
      <c r="AK107" s="51">
        <f t="shared" si="95"/>
        <v>9.9410000000000025</v>
      </c>
      <c r="AL107" s="51">
        <f t="shared" si="95"/>
        <v>29.410999999999994</v>
      </c>
      <c r="AM107" s="59"/>
      <c r="AN107" s="51">
        <f>+T107</f>
        <v>7.1070180000000001</v>
      </c>
      <c r="AO107" s="51">
        <f t="shared" ref="AO107:AQ108" si="96">+U107-T107</f>
        <v>6.113982</v>
      </c>
      <c r="AP107" s="51">
        <f t="shared" si="96"/>
        <v>-1.3789999999999996</v>
      </c>
      <c r="AQ107" s="51">
        <f t="shared" si="96"/>
        <v>8.9389999999999983</v>
      </c>
      <c r="AR107" s="59"/>
    </row>
    <row r="108" spans="2:44" s="14" customFormat="1">
      <c r="B108" s="50" t="s">
        <v>0</v>
      </c>
      <c r="C108" s="51" t="e">
        <f>(#REF!)/1000</f>
        <v>#REF!</v>
      </c>
      <c r="D108" s="65"/>
      <c r="E108" s="232">
        <v>0</v>
      </c>
      <c r="F108" s="232">
        <v>0</v>
      </c>
      <c r="G108" s="232">
        <v>0</v>
      </c>
      <c r="H108" s="232" t="e">
        <f t="shared" si="92"/>
        <v>#REF!</v>
      </c>
      <c r="I108" s="65"/>
      <c r="J108" s="232">
        <v>0</v>
      </c>
      <c r="K108" s="232">
        <v>0</v>
      </c>
      <c r="L108" s="232">
        <v>0</v>
      </c>
      <c r="M108" s="232">
        <v>0</v>
      </c>
      <c r="N108" s="65"/>
      <c r="O108" s="230">
        <v>0</v>
      </c>
      <c r="P108" s="230">
        <v>0</v>
      </c>
      <c r="Q108" s="230">
        <v>0</v>
      </c>
      <c r="R108" s="230">
        <v>0</v>
      </c>
      <c r="S108" s="65"/>
      <c r="T108" s="230">
        <v>0</v>
      </c>
      <c r="U108" s="230">
        <v>0</v>
      </c>
      <c r="V108" s="230">
        <v>0</v>
      </c>
      <c r="W108" s="230">
        <v>0</v>
      </c>
      <c r="X108" s="65"/>
      <c r="Y108" s="51">
        <f>+E108</f>
        <v>0</v>
      </c>
      <c r="Z108" s="51">
        <f t="shared" si="93"/>
        <v>0</v>
      </c>
      <c r="AA108" s="51">
        <f t="shared" si="93"/>
        <v>0</v>
      </c>
      <c r="AB108" s="51" t="e">
        <f t="shared" si="93"/>
        <v>#REF!</v>
      </c>
      <c r="AC108" s="65"/>
      <c r="AD108" s="51">
        <f>+J108</f>
        <v>0</v>
      </c>
      <c r="AE108" s="51">
        <f t="shared" si="94"/>
        <v>0</v>
      </c>
      <c r="AF108" s="51">
        <f t="shared" si="94"/>
        <v>0</v>
      </c>
      <c r="AG108" s="51">
        <f t="shared" si="94"/>
        <v>0</v>
      </c>
      <c r="AH108" s="65"/>
      <c r="AI108" s="51">
        <f>+O108</f>
        <v>0</v>
      </c>
      <c r="AJ108" s="51">
        <f t="shared" si="95"/>
        <v>0</v>
      </c>
      <c r="AK108" s="51">
        <f t="shared" si="95"/>
        <v>0</v>
      </c>
      <c r="AL108" s="51">
        <f t="shared" si="95"/>
        <v>0</v>
      </c>
      <c r="AM108" s="65"/>
      <c r="AN108" s="51">
        <f>+T108</f>
        <v>0</v>
      </c>
      <c r="AO108" s="51">
        <f t="shared" si="96"/>
        <v>0</v>
      </c>
      <c r="AP108" s="51">
        <f t="shared" si="96"/>
        <v>0</v>
      </c>
      <c r="AQ108" s="51">
        <f t="shared" si="96"/>
        <v>0</v>
      </c>
      <c r="AR108" s="65"/>
    </row>
    <row r="109" spans="2:44">
      <c r="B109" s="22"/>
      <c r="C109" s="22"/>
      <c r="D109" s="65"/>
      <c r="E109" s="65"/>
      <c r="F109" s="65"/>
      <c r="G109" s="65"/>
      <c r="H109" s="65"/>
      <c r="I109" s="65"/>
      <c r="J109" s="20"/>
      <c r="K109" s="20"/>
      <c r="L109" s="20"/>
      <c r="M109" s="20"/>
      <c r="N109" s="65"/>
      <c r="O109" s="247"/>
      <c r="P109" s="256"/>
      <c r="Q109" s="247"/>
      <c r="R109" s="247"/>
      <c r="S109" s="65"/>
      <c r="T109" s="22"/>
      <c r="U109" s="22"/>
      <c r="V109" s="22"/>
      <c r="W109" s="22"/>
      <c r="X109" s="65"/>
      <c r="Y109" s="65"/>
      <c r="Z109" s="65"/>
      <c r="AA109" s="65"/>
      <c r="AB109" s="65"/>
      <c r="AC109" s="65"/>
      <c r="AD109" s="15"/>
      <c r="AE109" s="15"/>
      <c r="AF109" s="15"/>
      <c r="AG109" s="15"/>
      <c r="AH109" s="65"/>
      <c r="AI109" s="15"/>
      <c r="AJ109" s="15"/>
      <c r="AK109" s="15"/>
      <c r="AL109" s="15"/>
      <c r="AM109" s="65"/>
      <c r="AN109" s="15"/>
      <c r="AO109" s="15"/>
      <c r="AP109" s="15"/>
      <c r="AQ109" s="15"/>
      <c r="AR109" s="65"/>
    </row>
  </sheetData>
  <sheetProtection formatCells="0" formatColumns="0" formatRows="0"/>
  <mergeCells count="35">
    <mergeCell ref="AE88:AF88"/>
    <mergeCell ref="AJ88:AK88"/>
    <mergeCell ref="AO88:AP88"/>
    <mergeCell ref="F88:G88"/>
    <mergeCell ref="K88:L88"/>
    <mergeCell ref="P88:Q88"/>
    <mergeCell ref="U88:V88"/>
    <mergeCell ref="Z88:AA88"/>
    <mergeCell ref="AE33:AF33"/>
    <mergeCell ref="AJ33:AK33"/>
    <mergeCell ref="AO33:AP33"/>
    <mergeCell ref="F60:G60"/>
    <mergeCell ref="K60:L60"/>
    <mergeCell ref="P60:Q60"/>
    <mergeCell ref="U60:V60"/>
    <mergeCell ref="Z60:AA60"/>
    <mergeCell ref="AE60:AF60"/>
    <mergeCell ref="AJ60:AK60"/>
    <mergeCell ref="F33:G33"/>
    <mergeCell ref="K33:L33"/>
    <mergeCell ref="P33:Q33"/>
    <mergeCell ref="U33:V33"/>
    <mergeCell ref="Z33:AA33"/>
    <mergeCell ref="AO60:AP60"/>
    <mergeCell ref="AJ7:AK7"/>
    <mergeCell ref="AO7:AP7"/>
    <mergeCell ref="F32:G32"/>
    <mergeCell ref="K32:L32"/>
    <mergeCell ref="P32:Q32"/>
    <mergeCell ref="F7:G7"/>
    <mergeCell ref="K7:L7"/>
    <mergeCell ref="P7:Q7"/>
    <mergeCell ref="U7:V7"/>
    <mergeCell ref="Z7:AA7"/>
    <mergeCell ref="AE7:AF7"/>
  </mergeCells>
  <pageMargins left="0.19685039370078741" right="0.19685039370078741" top="0.19685039370078741" bottom="0.19685039370078741" header="0" footer="0"/>
  <pageSetup paperSize="9" scale="4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24"/>
    <pageSetUpPr fitToPage="1"/>
  </sheetPr>
  <dimension ref="A1:N53"/>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4" ht="15" customHeight="1"/>
    <row r="2" spans="1:14" ht="15" customHeight="1"/>
    <row r="3" spans="1:14" ht="15" customHeight="1" thickBot="1">
      <c r="A3" s="92" t="s">
        <v>619</v>
      </c>
      <c r="B3" s="315"/>
      <c r="C3" s="315"/>
      <c r="D3" s="315"/>
      <c r="E3" s="315"/>
      <c r="F3" s="315"/>
      <c r="G3" s="315"/>
      <c r="H3" s="315"/>
      <c r="I3" s="315"/>
      <c r="J3" s="393"/>
      <c r="K3" s="393"/>
      <c r="L3" s="393"/>
      <c r="M3" s="393"/>
    </row>
    <row r="4" spans="1:14" ht="15" customHeight="1" thickBot="1">
      <c r="A4" s="78"/>
      <c r="B4" s="576">
        <v>2014</v>
      </c>
      <c r="C4" s="577"/>
      <c r="D4" s="577"/>
      <c r="E4" s="578"/>
      <c r="F4" s="579">
        <v>2015</v>
      </c>
      <c r="G4" s="580"/>
      <c r="H4" s="580"/>
      <c r="I4" s="581"/>
      <c r="J4" s="582">
        <v>2016</v>
      </c>
      <c r="K4" s="583"/>
      <c r="L4" s="583"/>
      <c r="M4" s="583"/>
    </row>
    <row r="5" spans="1:14" ht="15" customHeight="1" thickBot="1">
      <c r="A5" s="79" t="s">
        <v>527</v>
      </c>
      <c r="B5" s="262" t="s">
        <v>510</v>
      </c>
      <c r="C5" s="262" t="s">
        <v>511</v>
      </c>
      <c r="D5" s="262" t="s">
        <v>513</v>
      </c>
      <c r="E5" s="263" t="s">
        <v>514</v>
      </c>
      <c r="F5" s="308" t="s">
        <v>510</v>
      </c>
      <c r="G5" s="308" t="s">
        <v>511</v>
      </c>
      <c r="H5" s="308" t="s">
        <v>513</v>
      </c>
      <c r="I5" s="309" t="s">
        <v>514</v>
      </c>
      <c r="J5" s="235" t="s">
        <v>510</v>
      </c>
      <c r="K5" s="235" t="s">
        <v>511</v>
      </c>
      <c r="L5" s="235" t="s">
        <v>513</v>
      </c>
      <c r="M5" s="496" t="s">
        <v>514</v>
      </c>
      <c r="N5" s="389"/>
    </row>
    <row r="6" spans="1:14" ht="15" customHeight="1">
      <c r="A6" s="82" t="s">
        <v>61</v>
      </c>
      <c r="B6" s="69">
        <v>568.93917062852597</v>
      </c>
      <c r="C6" s="69">
        <v>592.26815244531394</v>
      </c>
      <c r="D6" s="69">
        <v>634.81300552494986</v>
      </c>
      <c r="E6" s="69">
        <v>592.50227828503034</v>
      </c>
      <c r="F6" s="156">
        <v>572.06275420063196</v>
      </c>
      <c r="G6" s="156">
        <v>599.14827762994798</v>
      </c>
      <c r="H6" s="156">
        <v>684.01005234075024</v>
      </c>
      <c r="I6" s="156">
        <v>611.44724185830978</v>
      </c>
      <c r="J6" s="316">
        <v>607.30742904835404</v>
      </c>
      <c r="K6" s="316">
        <v>620.31366536490589</v>
      </c>
      <c r="L6" s="316">
        <v>663.08191875795001</v>
      </c>
      <c r="M6" s="316"/>
      <c r="N6" s="153"/>
    </row>
    <row r="7" spans="1:14" ht="15" customHeight="1">
      <c r="A7" s="83" t="s">
        <v>140</v>
      </c>
      <c r="B7" s="69">
        <v>161.48496498634</v>
      </c>
      <c r="C7" s="69">
        <v>166.48616212351101</v>
      </c>
      <c r="D7" s="69">
        <v>176.865031491401</v>
      </c>
      <c r="E7" s="69">
        <v>194.03984409203997</v>
      </c>
      <c r="F7" s="156">
        <v>167.90966382763699</v>
      </c>
      <c r="G7" s="156">
        <v>190.14519727414799</v>
      </c>
      <c r="H7" s="156">
        <v>216.52522967548811</v>
      </c>
      <c r="I7" s="156">
        <v>215.42958487939688</v>
      </c>
      <c r="J7" s="316">
        <v>203.34875903783299</v>
      </c>
      <c r="K7" s="316">
        <v>191.39797051234203</v>
      </c>
      <c r="L7" s="316">
        <v>182.90869871114</v>
      </c>
      <c r="M7" s="316"/>
      <c r="N7" s="153"/>
    </row>
    <row r="8" spans="1:14" ht="18" customHeight="1">
      <c r="A8" s="84" t="s">
        <v>6</v>
      </c>
      <c r="B8" s="70">
        <v>730.42413561486592</v>
      </c>
      <c r="C8" s="70">
        <v>758.75431456882507</v>
      </c>
      <c r="D8" s="70">
        <v>811.67803701635057</v>
      </c>
      <c r="E8" s="70">
        <v>786.54212237707043</v>
      </c>
      <c r="F8" s="157">
        <v>739.97241802826898</v>
      </c>
      <c r="G8" s="157">
        <v>789.293474904096</v>
      </c>
      <c r="H8" s="157">
        <v>900.53528201623817</v>
      </c>
      <c r="I8" s="157">
        <v>826.87682673770678</v>
      </c>
      <c r="J8" s="317">
        <v>810.65618808618706</v>
      </c>
      <c r="K8" s="317">
        <v>811.711635877248</v>
      </c>
      <c r="L8" s="317">
        <v>845.99061746909001</v>
      </c>
      <c r="M8" s="317"/>
      <c r="N8" s="153"/>
    </row>
    <row r="9" spans="1:14" ht="15" customHeight="1">
      <c r="A9" s="83" t="s">
        <v>550</v>
      </c>
      <c r="B9" s="69">
        <v>20.688964625457995</v>
      </c>
      <c r="C9" s="69">
        <v>27.335447989452003</v>
      </c>
      <c r="D9" s="69">
        <v>47.951713554533008</v>
      </c>
      <c r="E9" s="69">
        <v>18.447329428723009</v>
      </c>
      <c r="F9" s="156">
        <v>20.598321248814003</v>
      </c>
      <c r="G9" s="156">
        <v>24.314305542987995</v>
      </c>
      <c r="H9" s="156">
        <v>35.016134048227997</v>
      </c>
      <c r="I9" s="156">
        <v>19.928554314728018</v>
      </c>
      <c r="J9" s="316">
        <v>14.166110472185</v>
      </c>
      <c r="K9" s="316">
        <v>27.481651699313705</v>
      </c>
      <c r="L9" s="316">
        <v>46.461377931146693</v>
      </c>
      <c r="M9" s="316"/>
      <c r="N9" s="153"/>
    </row>
    <row r="10" spans="1:14" ht="18" customHeight="1">
      <c r="A10" s="84" t="s">
        <v>60</v>
      </c>
      <c r="B10" s="70">
        <v>751.11310024032389</v>
      </c>
      <c r="C10" s="70">
        <v>786.08976255827713</v>
      </c>
      <c r="D10" s="70">
        <v>859.62975057088352</v>
      </c>
      <c r="E10" s="70">
        <v>804.98945180579358</v>
      </c>
      <c r="F10" s="157">
        <v>760.57073927708302</v>
      </c>
      <c r="G10" s="157">
        <v>813.607780447084</v>
      </c>
      <c r="H10" s="157">
        <v>935.55141606446614</v>
      </c>
      <c r="I10" s="157">
        <v>846.80538105243477</v>
      </c>
      <c r="J10" s="317">
        <v>824.82229855837204</v>
      </c>
      <c r="K10" s="317">
        <v>839.19328757656172</v>
      </c>
      <c r="L10" s="317">
        <v>892.45199540023691</v>
      </c>
      <c r="M10" s="317"/>
      <c r="N10" s="153"/>
    </row>
    <row r="11" spans="1:14" ht="15" customHeight="1">
      <c r="A11" s="83" t="s">
        <v>136</v>
      </c>
      <c r="B11" s="72">
        <v>59.474350342985986</v>
      </c>
      <c r="C11" s="72">
        <v>51.453588312214038</v>
      </c>
      <c r="D11" s="72">
        <v>58.5326670232796</v>
      </c>
      <c r="E11" s="72">
        <v>78.391127763899931</v>
      </c>
      <c r="F11" s="159">
        <v>92.919949519609077</v>
      </c>
      <c r="G11" s="159">
        <v>104.74005193774099</v>
      </c>
      <c r="H11" s="159">
        <v>125.12567863585946</v>
      </c>
      <c r="I11" s="159">
        <v>135.52160768471003</v>
      </c>
      <c r="J11" s="319">
        <v>127.61380086446093</v>
      </c>
      <c r="K11" s="319">
        <v>136.48285745173894</v>
      </c>
      <c r="L11" s="319">
        <v>133.71263162941068</v>
      </c>
      <c r="M11" s="319"/>
      <c r="N11" s="153"/>
    </row>
    <row r="12" spans="1:14" ht="18" customHeight="1">
      <c r="A12" s="558" t="s">
        <v>621</v>
      </c>
      <c r="B12" s="70">
        <v>810.58745058330987</v>
      </c>
      <c r="C12" s="70">
        <v>837.54335087049117</v>
      </c>
      <c r="D12" s="70">
        <v>918.16241759416312</v>
      </c>
      <c r="E12" s="70">
        <v>883.38057956969351</v>
      </c>
      <c r="F12" s="157">
        <v>853.4906887966921</v>
      </c>
      <c r="G12" s="157">
        <v>918.34783238482498</v>
      </c>
      <c r="H12" s="157">
        <v>1060.6770947003256</v>
      </c>
      <c r="I12" s="157">
        <v>982.3269887371448</v>
      </c>
      <c r="J12" s="317">
        <v>952.43609942283297</v>
      </c>
      <c r="K12" s="317">
        <v>975.67614502830065</v>
      </c>
      <c r="L12" s="317">
        <v>1026.1646270296476</v>
      </c>
      <c r="M12" s="317"/>
      <c r="N12" s="153"/>
    </row>
    <row r="13" spans="1:14" ht="18" customHeight="1">
      <c r="A13" s="557" t="s">
        <v>386</v>
      </c>
      <c r="B13" s="69">
        <v>27.667813875507001</v>
      </c>
      <c r="C13" s="69">
        <v>24.214663525120997</v>
      </c>
      <c r="D13" s="69">
        <v>38.755298055041997</v>
      </c>
      <c r="E13" s="69">
        <v>28.754120163675992</v>
      </c>
      <c r="F13" s="156">
        <v>30.958481440313001</v>
      </c>
      <c r="G13" s="156">
        <v>35.443182398477994</v>
      </c>
      <c r="H13" s="156">
        <v>48.411490177163003</v>
      </c>
      <c r="I13" s="156">
        <v>32.885679408005998</v>
      </c>
      <c r="J13" s="316">
        <v>40.782723927804</v>
      </c>
      <c r="K13" s="316">
        <v>39.459667997376997</v>
      </c>
      <c r="L13" s="316">
        <v>48.205115515987998</v>
      </c>
      <c r="M13" s="316"/>
      <c r="N13" s="153"/>
    </row>
    <row r="14" spans="1:14" ht="15" customHeight="1">
      <c r="A14" s="86"/>
      <c r="B14" s="69"/>
      <c r="C14" s="69"/>
      <c r="D14" s="69"/>
      <c r="E14" s="69"/>
      <c r="F14" s="156"/>
      <c r="G14" s="156"/>
      <c r="H14" s="156"/>
      <c r="I14" s="156"/>
      <c r="J14" s="316"/>
      <c r="K14" s="316"/>
      <c r="L14" s="316"/>
      <c r="M14" s="316"/>
      <c r="N14" s="153"/>
    </row>
    <row r="15" spans="1:14" ht="18" customHeight="1">
      <c r="A15" s="87" t="s">
        <v>478</v>
      </c>
      <c r="B15" s="71">
        <v>297.96894153840395</v>
      </c>
      <c r="C15" s="71">
        <v>330.900922050509</v>
      </c>
      <c r="D15" s="71">
        <v>377.20541357246714</v>
      </c>
      <c r="E15" s="71">
        <v>286.84415977918013</v>
      </c>
      <c r="F15" s="158">
        <v>285.396639169335</v>
      </c>
      <c r="G15" s="158">
        <v>325.44142862579201</v>
      </c>
      <c r="H15" s="158">
        <v>403.80675861257293</v>
      </c>
      <c r="I15" s="158">
        <v>314.37447442941004</v>
      </c>
      <c r="J15" s="318">
        <v>295.86469473262497</v>
      </c>
      <c r="K15" s="318">
        <v>341.98471049871301</v>
      </c>
      <c r="L15" s="318">
        <v>391.40805467763209</v>
      </c>
      <c r="M15" s="318"/>
    </row>
    <row r="16" spans="1:14" ht="15" customHeight="1">
      <c r="A16" s="83" t="s">
        <v>477</v>
      </c>
      <c r="B16" s="69">
        <v>-1.6470485749499999</v>
      </c>
      <c r="C16" s="69">
        <v>0</v>
      </c>
      <c r="D16" s="69">
        <v>-1.5437366422650001</v>
      </c>
      <c r="E16" s="69">
        <v>-2.1570281862549994</v>
      </c>
      <c r="F16" s="156">
        <v>-0.73689615587000001</v>
      </c>
      <c r="G16" s="156">
        <v>2.1844784157310002</v>
      </c>
      <c r="H16" s="156">
        <v>0</v>
      </c>
      <c r="I16" s="156">
        <v>1.3157847039620005</v>
      </c>
      <c r="J16" s="316">
        <v>0.59002257100099997</v>
      </c>
      <c r="K16" s="316">
        <v>-0.68894973021005002</v>
      </c>
      <c r="L16" s="316">
        <v>0</v>
      </c>
      <c r="M16" s="316"/>
      <c r="N16" s="153"/>
    </row>
    <row r="17" spans="1:14" ht="18" customHeight="1">
      <c r="A17" s="88" t="s">
        <v>535</v>
      </c>
      <c r="B17" s="71">
        <v>296.32189296345393</v>
      </c>
      <c r="C17" s="71">
        <v>331.15056169194497</v>
      </c>
      <c r="D17" s="71">
        <v>375.66167693020213</v>
      </c>
      <c r="E17" s="71">
        <v>284.68713159292508</v>
      </c>
      <c r="F17" s="158">
        <v>284.659743013465</v>
      </c>
      <c r="G17" s="158">
        <v>327.62590704152296</v>
      </c>
      <c r="H17" s="158">
        <v>403.62019649067599</v>
      </c>
      <c r="I17" s="158">
        <v>315.69025913337214</v>
      </c>
      <c r="J17" s="318">
        <v>296.45471730362596</v>
      </c>
      <c r="K17" s="318">
        <v>341.29576076850293</v>
      </c>
      <c r="L17" s="318">
        <v>391.39559406732803</v>
      </c>
      <c r="M17" s="318"/>
      <c r="N17" s="153"/>
    </row>
    <row r="18" spans="1:14" ht="15" customHeight="1">
      <c r="A18" s="83" t="s">
        <v>143</v>
      </c>
      <c r="B18" s="69">
        <v>-93.737924702571007</v>
      </c>
      <c r="C18" s="69">
        <v>-92.651374330483009</v>
      </c>
      <c r="D18" s="69">
        <v>-90.043785970947937</v>
      </c>
      <c r="E18" s="69">
        <v>-97.999752155360113</v>
      </c>
      <c r="F18" s="156">
        <v>-100.16820221345999</v>
      </c>
      <c r="G18" s="156">
        <v>-100.81366670760299</v>
      </c>
      <c r="H18" s="156">
        <v>-110.14995342175598</v>
      </c>
      <c r="I18" s="156">
        <v>-118.51725749253808</v>
      </c>
      <c r="J18" s="316">
        <v>-127.79635577744099</v>
      </c>
      <c r="K18" s="316">
        <v>-127.136943704966</v>
      </c>
      <c r="L18" s="316">
        <v>-130.716212936847</v>
      </c>
      <c r="M18" s="316"/>
      <c r="N18" s="153"/>
    </row>
    <row r="19" spans="1:14" ht="15" customHeight="1">
      <c r="A19" s="89" t="s">
        <v>43</v>
      </c>
      <c r="B19" s="75">
        <v>0</v>
      </c>
      <c r="C19" s="75">
        <v>0</v>
      </c>
      <c r="D19" s="75">
        <v>0</v>
      </c>
      <c r="E19" s="75">
        <v>0</v>
      </c>
      <c r="F19" s="162">
        <v>0</v>
      </c>
      <c r="G19" s="162">
        <v>0</v>
      </c>
      <c r="H19" s="162">
        <v>0</v>
      </c>
      <c r="I19" s="162">
        <v>0</v>
      </c>
      <c r="J19" s="325">
        <v>0</v>
      </c>
      <c r="K19" s="325">
        <v>0</v>
      </c>
      <c r="L19" s="325">
        <v>0</v>
      </c>
      <c r="M19" s="325"/>
      <c r="N19" s="153"/>
    </row>
    <row r="20" spans="1:14" ht="18" customHeight="1">
      <c r="A20" s="84" t="s">
        <v>534</v>
      </c>
      <c r="B20" s="73">
        <v>202.58393567052494</v>
      </c>
      <c r="C20" s="73">
        <v>238.56629878715691</v>
      </c>
      <c r="D20" s="73">
        <v>285.55077993981018</v>
      </c>
      <c r="E20" s="73">
        <v>186.69028271109403</v>
      </c>
      <c r="F20" s="160">
        <v>184.488940644601</v>
      </c>
      <c r="G20" s="160">
        <v>226.81226400743</v>
      </c>
      <c r="H20" s="160">
        <v>293.47019232720794</v>
      </c>
      <c r="I20" s="160">
        <v>197.17269845049213</v>
      </c>
      <c r="J20" s="320">
        <v>168.65836152618496</v>
      </c>
      <c r="K20" s="320">
        <v>214.15881706353693</v>
      </c>
      <c r="L20" s="320">
        <v>260.67938113048098</v>
      </c>
      <c r="M20" s="320"/>
      <c r="N20" s="153"/>
    </row>
    <row r="21" spans="1:14" ht="15" customHeight="1">
      <c r="A21" s="83"/>
      <c r="B21" s="69"/>
      <c r="C21" s="69"/>
      <c r="D21" s="69"/>
      <c r="E21" s="69"/>
      <c r="F21" s="156"/>
      <c r="G21" s="156"/>
      <c r="H21" s="156"/>
      <c r="I21" s="156"/>
      <c r="J21" s="316"/>
      <c r="K21" s="316"/>
      <c r="L21" s="316"/>
      <c r="M21" s="316"/>
      <c r="N21" s="153"/>
    </row>
    <row r="22" spans="1:14" ht="15" customHeight="1">
      <c r="A22" s="83" t="s">
        <v>479</v>
      </c>
      <c r="B22" s="74">
        <v>36.759629244689322</v>
      </c>
      <c r="C22" s="74">
        <v>39.508512807915061</v>
      </c>
      <c r="D22" s="74">
        <v>41.082645765533357</v>
      </c>
      <c r="E22" s="74">
        <v>32.471186984765474</v>
      </c>
      <c r="F22" s="161">
        <v>33.438752515473382</v>
      </c>
      <c r="G22" s="161">
        <v>35.437708583757932</v>
      </c>
      <c r="H22" s="161">
        <v>38.070658886686054</v>
      </c>
      <c r="I22" s="161">
        <v>32.003037484856449</v>
      </c>
      <c r="J22" s="323">
        <v>31.06399420516674</v>
      </c>
      <c r="K22" s="323">
        <v>35.051047649503957</v>
      </c>
      <c r="L22" s="323">
        <v>38.1428129919668</v>
      </c>
      <c r="M22" s="323"/>
      <c r="N22" s="153"/>
    </row>
    <row r="23" spans="1:14" ht="15" customHeight="1">
      <c r="A23" s="83" t="s">
        <v>62</v>
      </c>
      <c r="B23" s="74">
        <v>36.556437278940926</v>
      </c>
      <c r="C23" s="74">
        <v>39.538318983461259</v>
      </c>
      <c r="D23" s="74">
        <v>40.914512479669831</v>
      </c>
      <c r="E23" s="74">
        <v>32.227008174845771</v>
      </c>
      <c r="F23" s="161">
        <v>33.352413418217516</v>
      </c>
      <c r="G23" s="161">
        <v>35.675579065801557</v>
      </c>
      <c r="H23" s="161">
        <v>38.053069921785323</v>
      </c>
      <c r="I23" s="161">
        <v>32.136983179014116</v>
      </c>
      <c r="J23" s="323">
        <v>31.125942988015115</v>
      </c>
      <c r="K23" s="323">
        <v>34.980435107245881</v>
      </c>
      <c r="L23" s="323">
        <v>38.141598702370786</v>
      </c>
      <c r="M23" s="323"/>
      <c r="N23" s="153"/>
    </row>
    <row r="24" spans="1:14" ht="15" customHeight="1">
      <c r="A24" s="83" t="s">
        <v>63</v>
      </c>
      <c r="B24" s="74">
        <v>24.99223686781022</v>
      </c>
      <c r="C24" s="74">
        <v>28.48405381514948</v>
      </c>
      <c r="D24" s="74">
        <v>31.100247022529132</v>
      </c>
      <c r="E24" s="74">
        <v>21.133618626983328</v>
      </c>
      <c r="F24" s="161">
        <v>21.615811755920358</v>
      </c>
      <c r="G24" s="161">
        <v>24.697860223443797</v>
      </c>
      <c r="H24" s="161">
        <v>27.668193627780983</v>
      </c>
      <c r="I24" s="161">
        <v>20.072002572582523</v>
      </c>
      <c r="J24" s="323">
        <v>17.708102583300896</v>
      </c>
      <c r="K24" s="323">
        <v>21.949785095681008</v>
      </c>
      <c r="L24" s="323">
        <v>25.40327100194904</v>
      </c>
      <c r="M24" s="323"/>
      <c r="N24" s="153"/>
    </row>
    <row r="25" spans="1:14" ht="15" customHeight="1">
      <c r="A25" s="83"/>
      <c r="B25" s="69"/>
      <c r="C25" s="69"/>
      <c r="D25" s="69"/>
      <c r="E25" s="69"/>
      <c r="F25" s="156"/>
      <c r="G25" s="156"/>
      <c r="H25" s="156"/>
      <c r="I25" s="156"/>
      <c r="J25" s="316"/>
      <c r="K25" s="316"/>
      <c r="L25" s="316"/>
      <c r="M25" s="316"/>
      <c r="N25" s="153"/>
    </row>
    <row r="26" spans="1:14" ht="15" customHeight="1">
      <c r="A26" s="83" t="s">
        <v>64</v>
      </c>
      <c r="B26" s="69">
        <v>59.942208000899996</v>
      </c>
      <c r="C26" s="69">
        <v>76.873100099099986</v>
      </c>
      <c r="D26" s="69">
        <v>64.990319395480014</v>
      </c>
      <c r="E26" s="69">
        <v>119.88140234652002</v>
      </c>
      <c r="F26" s="156">
        <v>105.1581417412</v>
      </c>
      <c r="G26" s="156">
        <v>101.7882670673</v>
      </c>
      <c r="H26" s="156">
        <v>110.04350856800005</v>
      </c>
      <c r="I26" s="156">
        <v>458.8847701135</v>
      </c>
      <c r="J26" s="316">
        <v>82.430313599999991</v>
      </c>
      <c r="K26" s="316">
        <v>97.772263075000026</v>
      </c>
      <c r="L26" s="316">
        <v>180.49460114400003</v>
      </c>
      <c r="M26" s="316"/>
      <c r="N26" s="153"/>
    </row>
    <row r="27" spans="1:14" ht="15" customHeight="1">
      <c r="A27" s="83" t="s">
        <v>0</v>
      </c>
      <c r="B27" s="69">
        <v>0</v>
      </c>
      <c r="C27" s="69">
        <v>0</v>
      </c>
      <c r="D27" s="69">
        <v>0</v>
      </c>
      <c r="E27" s="69">
        <v>17.124470000000002</v>
      </c>
      <c r="F27" s="156">
        <v>0</v>
      </c>
      <c r="G27" s="156">
        <v>0</v>
      </c>
      <c r="H27" s="156">
        <v>0</v>
      </c>
      <c r="I27" s="156">
        <v>0</v>
      </c>
      <c r="J27" s="316">
        <v>0</v>
      </c>
      <c r="K27" s="316">
        <v>0</v>
      </c>
      <c r="L27" s="316">
        <v>0</v>
      </c>
      <c r="M27" s="316"/>
      <c r="N27" s="153"/>
    </row>
    <row r="28" spans="1:14" s="190" customFormat="1" ht="15" customHeight="1">
      <c r="A28" s="196" t="s">
        <v>480</v>
      </c>
      <c r="B28" s="270">
        <v>59.942208000899996</v>
      </c>
      <c r="C28" s="270">
        <v>76.873100099099986</v>
      </c>
      <c r="D28" s="270">
        <v>64.990319395480014</v>
      </c>
      <c r="E28" s="270">
        <v>119.88140234652002</v>
      </c>
      <c r="F28" s="207">
        <v>44.992509341199998</v>
      </c>
      <c r="G28" s="207">
        <v>101.69061386729999</v>
      </c>
      <c r="H28" s="207">
        <v>108.78100956800006</v>
      </c>
      <c r="I28" s="207">
        <v>142.35524771349998</v>
      </c>
      <c r="J28" s="316">
        <v>82.430313599999991</v>
      </c>
      <c r="K28" s="316">
        <v>97.772263075000026</v>
      </c>
      <c r="L28" s="316">
        <v>64.384409112000029</v>
      </c>
      <c r="M28" s="316"/>
    </row>
    <row r="29" spans="1:14" ht="15" customHeight="1">
      <c r="A29" s="90"/>
      <c r="B29" s="75"/>
      <c r="C29" s="75"/>
      <c r="D29" s="75"/>
      <c r="E29" s="75"/>
      <c r="F29" s="162"/>
      <c r="G29" s="162"/>
      <c r="H29" s="162"/>
      <c r="I29" s="162"/>
      <c r="J29" s="325"/>
      <c r="K29" s="325"/>
      <c r="L29" s="325"/>
      <c r="M29" s="325"/>
      <c r="N29" s="153"/>
    </row>
    <row r="30" spans="1:14" ht="15" customHeight="1">
      <c r="A30" s="91" t="s">
        <v>373</v>
      </c>
      <c r="B30" s="69">
        <v>3467</v>
      </c>
      <c r="C30" s="69">
        <v>3504</v>
      </c>
      <c r="D30" s="69">
        <v>3655.8180000000002</v>
      </c>
      <c r="E30" s="69">
        <v>3585.326</v>
      </c>
      <c r="F30" s="156">
        <v>3530.06</v>
      </c>
      <c r="G30" s="156">
        <v>3518.2629999999999</v>
      </c>
      <c r="H30" s="156">
        <v>3592.931</v>
      </c>
      <c r="I30" s="156">
        <v>3442.576</v>
      </c>
      <c r="J30" s="316">
        <v>3383.5520000000001</v>
      </c>
      <c r="K30" s="316">
        <v>3385.145</v>
      </c>
      <c r="L30" s="316">
        <v>3487.3049999999998</v>
      </c>
      <c r="M30" s="316"/>
      <c r="N30" s="153"/>
    </row>
    <row r="31" spans="1:14" ht="15" customHeight="1">
      <c r="A31" s="83" t="s">
        <v>376</v>
      </c>
      <c r="B31" s="69">
        <v>1885</v>
      </c>
      <c r="C31" s="69">
        <v>1902</v>
      </c>
      <c r="D31" s="69">
        <v>2033.876</v>
      </c>
      <c r="E31" s="69">
        <v>1947.2349999999999</v>
      </c>
      <c r="F31" s="156">
        <v>1886.7760000000001</v>
      </c>
      <c r="G31" s="156">
        <v>1870.8340000000001</v>
      </c>
      <c r="H31" s="156">
        <v>1934.3430000000001</v>
      </c>
      <c r="I31" s="156">
        <v>1775.7550000000001</v>
      </c>
      <c r="J31" s="316">
        <v>1714.3</v>
      </c>
      <c r="K31" s="316">
        <v>1708.106</v>
      </c>
      <c r="L31" s="316">
        <v>1801.8440000000001</v>
      </c>
      <c r="M31" s="316"/>
      <c r="N31" s="153"/>
    </row>
    <row r="32" spans="1:14" ht="15" customHeight="1">
      <c r="A32" s="83" t="s">
        <v>374</v>
      </c>
      <c r="B32" s="69">
        <v>178</v>
      </c>
      <c r="C32" s="69">
        <v>192</v>
      </c>
      <c r="D32" s="69">
        <v>187</v>
      </c>
      <c r="E32" s="69">
        <v>190</v>
      </c>
      <c r="F32" s="156">
        <v>181.09373499563188</v>
      </c>
      <c r="G32" s="156">
        <v>193</v>
      </c>
      <c r="H32" s="156">
        <v>184.8643533605069</v>
      </c>
      <c r="I32" s="156">
        <v>188.74714590020037</v>
      </c>
      <c r="J32" s="316">
        <v>184.05344049786629</v>
      </c>
      <c r="K32" s="316">
        <v>192.49303717232397</v>
      </c>
      <c r="L32" s="316">
        <v>183.46354091370833</v>
      </c>
      <c r="M32" s="316"/>
      <c r="N32" s="153"/>
    </row>
    <row r="33" spans="1:14" ht="15" customHeight="1">
      <c r="A33" s="83" t="s">
        <v>375</v>
      </c>
      <c r="B33" s="69">
        <v>69.56496860654039</v>
      </c>
      <c r="C33" s="69">
        <v>72.768908558299074</v>
      </c>
      <c r="D33" s="69">
        <v>75.2344605413913</v>
      </c>
      <c r="E33" s="69">
        <v>72.471641967172118</v>
      </c>
      <c r="F33" s="156">
        <v>69.32491579078085</v>
      </c>
      <c r="G33" s="156">
        <v>75.099999999999994</v>
      </c>
      <c r="H33" s="156">
        <v>83.907176490763831</v>
      </c>
      <c r="I33" s="156">
        <v>78.504384224648263</v>
      </c>
      <c r="J33" s="316">
        <v>79.368505858391771</v>
      </c>
      <c r="K33" s="316">
        <v>80.151860356793577</v>
      </c>
      <c r="L33" s="316">
        <v>81.535448793936624</v>
      </c>
      <c r="M33" s="316"/>
      <c r="N33" s="153"/>
    </row>
    <row r="34" spans="1:14" ht="15" customHeight="1">
      <c r="A34" s="83" t="s">
        <v>377</v>
      </c>
      <c r="B34" s="69">
        <v>113.64081148572281</v>
      </c>
      <c r="C34" s="69">
        <v>115.74385946945502</v>
      </c>
      <c r="D34" s="69">
        <v>121.48706796388574</v>
      </c>
      <c r="E34" s="69">
        <v>118.6493895685302</v>
      </c>
      <c r="F34" s="156">
        <v>113.56108499661997</v>
      </c>
      <c r="G34" s="156">
        <v>119.8</v>
      </c>
      <c r="H34" s="156">
        <v>132.23240418720812</v>
      </c>
      <c r="I34" s="156">
        <v>133.97375450464523</v>
      </c>
      <c r="J34" s="316">
        <v>127.89668517929989</v>
      </c>
      <c r="K34" s="316">
        <v>128.04315055559908</v>
      </c>
      <c r="L34" s="316">
        <v>129.77093581696903</v>
      </c>
      <c r="M34" s="316"/>
      <c r="N34" s="153"/>
    </row>
    <row r="35" spans="1:14" ht="15" customHeight="1">
      <c r="A35" s="89" t="s">
        <v>376</v>
      </c>
      <c r="B35" s="75">
        <v>33.645162856775571</v>
      </c>
      <c r="C35" s="75">
        <v>37.004915005799838</v>
      </c>
      <c r="D35" s="75">
        <v>38.826660056514854</v>
      </c>
      <c r="E35" s="75">
        <v>35.625745129513284</v>
      </c>
      <c r="F35" s="162">
        <v>32.468807823609694</v>
      </c>
      <c r="G35" s="162">
        <v>36.9</v>
      </c>
      <c r="H35" s="162">
        <v>44.42728845567234</v>
      </c>
      <c r="I35" s="162">
        <v>42.693594268447718</v>
      </c>
      <c r="J35" s="325">
        <v>37.331848632136392</v>
      </c>
      <c r="K35" s="325">
        <v>38.735525629682392</v>
      </c>
      <c r="L35" s="325">
        <v>42.623566553670166</v>
      </c>
      <c r="M35" s="325"/>
      <c r="N35" s="153"/>
    </row>
    <row r="36" spans="1:14" ht="15" customHeight="1">
      <c r="A36" s="560" t="s">
        <v>625</v>
      </c>
      <c r="B36" s="69"/>
      <c r="C36" s="69"/>
      <c r="D36" s="69"/>
      <c r="E36" s="69"/>
      <c r="F36" s="156"/>
      <c r="G36" s="156"/>
      <c r="H36" s="156"/>
      <c r="I36" s="156"/>
      <c r="J36" s="316"/>
      <c r="K36" s="316"/>
      <c r="L36" s="316"/>
      <c r="M36" s="316"/>
      <c r="N36" s="153"/>
    </row>
    <row r="37" spans="1:14" ht="15" customHeight="1">
      <c r="A37" s="368" t="s">
        <v>622</v>
      </c>
      <c r="B37" s="69">
        <v>116.818686518924</v>
      </c>
      <c r="C37" s="69">
        <v>131.09328427394803</v>
      </c>
      <c r="D37" s="69">
        <v>164.863703903199</v>
      </c>
      <c r="E37" s="69">
        <v>128.97996449539897</v>
      </c>
      <c r="F37" s="156">
        <v>121.36560151577399</v>
      </c>
      <c r="G37" s="156">
        <v>137.728855044087</v>
      </c>
      <c r="H37" s="156">
        <v>171.98003777539799</v>
      </c>
      <c r="I37" s="156">
        <v>195.67057089501105</v>
      </c>
      <c r="J37" s="316">
        <v>128.316597766656</v>
      </c>
      <c r="K37" s="316">
        <v>146.74400462575647</v>
      </c>
      <c r="L37" s="316">
        <v>216.05421912502544</v>
      </c>
      <c r="M37" s="316"/>
      <c r="N37" s="153"/>
    </row>
    <row r="38" spans="1:14" ht="15" customHeight="1">
      <c r="A38" s="368" t="s">
        <v>623</v>
      </c>
      <c r="B38" s="69">
        <v>719.84741476288798</v>
      </c>
      <c r="C38" s="69">
        <v>733.45446310329464</v>
      </c>
      <c r="D38" s="69">
        <v>787.19990629566655</v>
      </c>
      <c r="E38" s="69">
        <v>783.02119540750027</v>
      </c>
      <c r="F38" s="156">
        <v>761.57110974699401</v>
      </c>
      <c r="G38" s="156">
        <v>813.57801462671011</v>
      </c>
      <c r="H38" s="156">
        <v>929.20641874091189</v>
      </c>
      <c r="I38" s="156">
        <v>889.82006285902389</v>
      </c>
      <c r="J38" s="316">
        <v>866.72946657968998</v>
      </c>
      <c r="K38" s="316">
        <v>882.43328161180045</v>
      </c>
      <c r="L38" s="316">
        <v>902.58683540817424</v>
      </c>
      <c r="M38" s="316"/>
      <c r="N38" s="153"/>
    </row>
    <row r="39" spans="1:14" ht="15" customHeight="1">
      <c r="A39" s="103" t="s">
        <v>624</v>
      </c>
      <c r="B39" s="75">
        <v>-26.078650698502088</v>
      </c>
      <c r="C39" s="75">
        <v>-27.004396506751505</v>
      </c>
      <c r="D39" s="75">
        <v>-33.901192604702374</v>
      </c>
      <c r="E39" s="75">
        <v>-28.62058033320568</v>
      </c>
      <c r="F39" s="162">
        <v>-29.446022466075874</v>
      </c>
      <c r="G39" s="162">
        <v>-32.959037285972158</v>
      </c>
      <c r="H39" s="162">
        <v>-40.509361815984221</v>
      </c>
      <c r="I39" s="162">
        <v>-103.16364501689009</v>
      </c>
      <c r="J39" s="325">
        <v>-42.609964923513076</v>
      </c>
      <c r="K39" s="325">
        <v>-53.501141209256275</v>
      </c>
      <c r="L39" s="325">
        <v>-92.476427503552031</v>
      </c>
      <c r="M39" s="325"/>
      <c r="N39" s="153"/>
    </row>
    <row r="40" spans="1:14">
      <c r="A40" s="4"/>
    </row>
    <row r="41" spans="1:14">
      <c r="A41" s="4"/>
    </row>
    <row r="42" spans="1:14">
      <c r="A42" s="4"/>
    </row>
    <row r="43" spans="1:14">
      <c r="A43" s="4"/>
    </row>
    <row r="44" spans="1:14">
      <c r="A44" s="4"/>
    </row>
    <row r="45" spans="1:14">
      <c r="A45" s="4"/>
    </row>
    <row r="46" spans="1:14">
      <c r="A46" s="4"/>
    </row>
    <row r="47" spans="1:14">
      <c r="A47" s="4"/>
    </row>
    <row r="48" spans="1:14">
      <c r="A48" s="4"/>
    </row>
    <row r="49" spans="1:1">
      <c r="A49" s="4"/>
    </row>
    <row r="50" spans="1:1">
      <c r="A50" s="4"/>
    </row>
    <row r="51" spans="1:1">
      <c r="A51" s="4"/>
    </row>
    <row r="52" spans="1:1">
      <c r="A52" s="4"/>
    </row>
    <row r="53" spans="1:1">
      <c r="A53" s="4"/>
    </row>
  </sheetData>
  <mergeCells count="3">
    <mergeCell ref="B4:E4"/>
    <mergeCell ref="F4:I4"/>
    <mergeCell ref="J4:M4"/>
  </mergeCells>
  <pageMargins left="0.42" right="0.39" top="0.984251969" bottom="0.984251969" header="0.5" footer="0.5"/>
  <pageSetup paperSize="9" scale="7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enableFormatConditionsCalculation="0">
    <tabColor indexed="24"/>
    <pageSetUpPr fitToPage="1"/>
  </sheetPr>
  <dimension ref="A1:N35"/>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4" ht="15" customHeight="1"/>
    <row r="2" spans="1:14" ht="15" customHeight="1"/>
    <row r="3" spans="1:14" ht="15" customHeight="1" thickBot="1">
      <c r="A3" s="92" t="s">
        <v>608</v>
      </c>
      <c r="B3" s="299"/>
      <c r="C3" s="299"/>
      <c r="D3" s="299"/>
      <c r="E3" s="299"/>
      <c r="F3" s="305"/>
      <c r="G3" s="305"/>
      <c r="H3" s="305"/>
      <c r="I3" s="305"/>
      <c r="J3" s="393"/>
      <c r="K3" s="393"/>
      <c r="L3" s="393"/>
      <c r="M3" s="393"/>
    </row>
    <row r="4" spans="1:14" ht="15" customHeight="1" thickBot="1">
      <c r="A4" s="78"/>
      <c r="B4" s="576">
        <v>2014</v>
      </c>
      <c r="C4" s="577"/>
      <c r="D4" s="577"/>
      <c r="E4" s="578"/>
      <c r="F4" s="579">
        <v>2015</v>
      </c>
      <c r="G4" s="580"/>
      <c r="H4" s="580"/>
      <c r="I4" s="581"/>
      <c r="J4" s="582">
        <v>2016</v>
      </c>
      <c r="K4" s="583"/>
      <c r="L4" s="583"/>
      <c r="M4" s="583"/>
    </row>
    <row r="5" spans="1:14" ht="15" customHeight="1" thickBot="1">
      <c r="A5" s="79" t="s">
        <v>527</v>
      </c>
      <c r="B5" s="262" t="s">
        <v>510</v>
      </c>
      <c r="C5" s="262" t="s">
        <v>511</v>
      </c>
      <c r="D5" s="262" t="s">
        <v>513</v>
      </c>
      <c r="E5" s="263" t="s">
        <v>514</v>
      </c>
      <c r="F5" s="307" t="s">
        <v>510</v>
      </c>
      <c r="G5" s="307" t="s">
        <v>511</v>
      </c>
      <c r="H5" s="307" t="s">
        <v>513</v>
      </c>
      <c r="I5" s="310" t="s">
        <v>514</v>
      </c>
      <c r="J5" s="235" t="s">
        <v>510</v>
      </c>
      <c r="K5" s="235" t="s">
        <v>511</v>
      </c>
      <c r="L5" s="235" t="s">
        <v>513</v>
      </c>
      <c r="M5" s="496" t="s">
        <v>514</v>
      </c>
      <c r="N5" s="389"/>
    </row>
    <row r="6" spans="1:14" ht="15" customHeight="1">
      <c r="A6" s="82" t="s">
        <v>61</v>
      </c>
      <c r="B6" s="69">
        <v>3097.0952972733598</v>
      </c>
      <c r="C6" s="69">
        <v>3083.4709652555898</v>
      </c>
      <c r="D6" s="69">
        <v>3140.6101691171607</v>
      </c>
      <c r="E6" s="69">
        <v>3394.8006517291888</v>
      </c>
      <c r="F6" s="156">
        <v>3925.0344181164796</v>
      </c>
      <c r="G6" s="156">
        <v>3784.6431918063804</v>
      </c>
      <c r="H6" s="156">
        <v>3775.0258198688398</v>
      </c>
      <c r="I6" s="156">
        <v>3889.9465180012012</v>
      </c>
      <c r="J6" s="316">
        <v>3922.8789307524999</v>
      </c>
      <c r="K6" s="316">
        <v>3709.9850667334999</v>
      </c>
      <c r="L6" s="316">
        <v>3848.3171337743006</v>
      </c>
      <c r="M6" s="316"/>
    </row>
    <row r="7" spans="1:14" ht="15" customHeight="1">
      <c r="A7" s="83" t="s">
        <v>140</v>
      </c>
      <c r="B7" s="69">
        <v>413.87728230756005</v>
      </c>
      <c r="C7" s="69">
        <v>408.78541375803496</v>
      </c>
      <c r="D7" s="69">
        <v>422.15755824321502</v>
      </c>
      <c r="E7" s="69">
        <v>474.83990843512993</v>
      </c>
      <c r="F7" s="156">
        <v>387.78560143805203</v>
      </c>
      <c r="G7" s="156">
        <v>372.32233212413394</v>
      </c>
      <c r="H7" s="156">
        <v>279.70085412572394</v>
      </c>
      <c r="I7" s="156">
        <v>287.66051497206013</v>
      </c>
      <c r="J7" s="316">
        <v>287.32090631269995</v>
      </c>
      <c r="K7" s="316">
        <v>270.82401930918508</v>
      </c>
      <c r="L7" s="316">
        <v>268.57046592724907</v>
      </c>
      <c r="M7" s="316"/>
    </row>
    <row r="8" spans="1:14" ht="18" customHeight="1">
      <c r="A8" s="84" t="s">
        <v>6</v>
      </c>
      <c r="B8" s="70">
        <v>3510.97257958092</v>
      </c>
      <c r="C8" s="70">
        <v>3492.2563790136246</v>
      </c>
      <c r="D8" s="70">
        <v>3562.7677273603758</v>
      </c>
      <c r="E8" s="70">
        <v>3869.6405601643182</v>
      </c>
      <c r="F8" s="157">
        <v>4312.8200195545314</v>
      </c>
      <c r="G8" s="157">
        <v>4156.9655239305148</v>
      </c>
      <c r="H8" s="157">
        <v>4054.7266739945626</v>
      </c>
      <c r="I8" s="157">
        <v>4177.6070329732611</v>
      </c>
      <c r="J8" s="317">
        <v>4210.1998370652</v>
      </c>
      <c r="K8" s="317">
        <v>3980.8090860426846</v>
      </c>
      <c r="L8" s="317">
        <v>4116.8875997015502</v>
      </c>
      <c r="M8" s="317"/>
    </row>
    <row r="9" spans="1:14" ht="15" customHeight="1">
      <c r="A9" s="83" t="s">
        <v>550</v>
      </c>
      <c r="B9" s="69">
        <v>61.689515315406005</v>
      </c>
      <c r="C9" s="69">
        <v>30.969393772479002</v>
      </c>
      <c r="D9" s="69">
        <v>36.643788604847998</v>
      </c>
      <c r="E9" s="69">
        <v>52.100448263306987</v>
      </c>
      <c r="F9" s="156">
        <v>63.015328760963001</v>
      </c>
      <c r="G9" s="156">
        <v>44.953630021315007</v>
      </c>
      <c r="H9" s="156">
        <v>39.328466382887996</v>
      </c>
      <c r="I9" s="156">
        <v>57.06180907197998</v>
      </c>
      <c r="J9" s="316">
        <v>70.990336141075105</v>
      </c>
      <c r="K9" s="316">
        <v>44.648161753873893</v>
      </c>
      <c r="L9" s="316">
        <v>21.321389158408991</v>
      </c>
      <c r="M9" s="316"/>
    </row>
    <row r="10" spans="1:14" ht="18" customHeight="1">
      <c r="A10" s="84" t="s">
        <v>60</v>
      </c>
      <c r="B10" s="70">
        <v>3572.6620948963259</v>
      </c>
      <c r="C10" s="70">
        <v>3523.2257727861038</v>
      </c>
      <c r="D10" s="70">
        <v>3599.4115159652229</v>
      </c>
      <c r="E10" s="70">
        <v>3921.7410084276253</v>
      </c>
      <c r="F10" s="157">
        <v>4375.8353483154942</v>
      </c>
      <c r="G10" s="157">
        <v>4201.9191539518297</v>
      </c>
      <c r="H10" s="157">
        <v>4094.0551403774516</v>
      </c>
      <c r="I10" s="157">
        <v>4234.6688420452392</v>
      </c>
      <c r="J10" s="317">
        <v>4281.1901732062752</v>
      </c>
      <c r="K10" s="317">
        <v>4025.4572477965585</v>
      </c>
      <c r="L10" s="317">
        <v>4138.2089888599585</v>
      </c>
      <c r="M10" s="317"/>
    </row>
    <row r="11" spans="1:14" ht="15" customHeight="1">
      <c r="A11" s="83" t="s">
        <v>136</v>
      </c>
      <c r="B11" s="72">
        <v>614.15181301750192</v>
      </c>
      <c r="C11" s="72">
        <v>505.55684238188803</v>
      </c>
      <c r="D11" s="72">
        <v>481.52190015850988</v>
      </c>
      <c r="E11" s="72">
        <v>1343.6632326065103</v>
      </c>
      <c r="F11" s="159">
        <v>1066.7653618071602</v>
      </c>
      <c r="G11" s="159">
        <v>909.67504516705981</v>
      </c>
      <c r="H11" s="159">
        <v>506.40298117791008</v>
      </c>
      <c r="I11" s="159">
        <v>1297.94010775058</v>
      </c>
      <c r="J11" s="319">
        <v>978.92499494597496</v>
      </c>
      <c r="K11" s="319">
        <v>603.96882080221508</v>
      </c>
      <c r="L11" s="319">
        <v>532.9743065891596</v>
      </c>
      <c r="M11" s="319"/>
    </row>
    <row r="12" spans="1:14" ht="18" customHeight="1">
      <c r="A12" s="558" t="s">
        <v>385</v>
      </c>
      <c r="B12" s="70">
        <v>4186.8139079138282</v>
      </c>
      <c r="C12" s="70">
        <v>4028.7826151679919</v>
      </c>
      <c r="D12" s="70">
        <v>4080.933416123733</v>
      </c>
      <c r="E12" s="70">
        <v>5265.4042410341353</v>
      </c>
      <c r="F12" s="157">
        <v>5442.6007101226542</v>
      </c>
      <c r="G12" s="157">
        <v>5111.5941991188893</v>
      </c>
      <c r="H12" s="157">
        <v>4600.4581215553626</v>
      </c>
      <c r="I12" s="157">
        <v>5532.6089497958183</v>
      </c>
      <c r="J12" s="317">
        <v>5260.1151681522497</v>
      </c>
      <c r="K12" s="317">
        <v>4629.4260685987738</v>
      </c>
      <c r="L12" s="317">
        <v>4671.1832954491183</v>
      </c>
      <c r="M12" s="317"/>
    </row>
    <row r="13" spans="1:14" ht="18" customHeight="1">
      <c r="A13" s="557" t="s">
        <v>386</v>
      </c>
      <c r="B13" s="69">
        <v>9.1547556195059983</v>
      </c>
      <c r="C13" s="69">
        <v>8.2642667741340006</v>
      </c>
      <c r="D13" s="69">
        <v>6.2703362510880005</v>
      </c>
      <c r="E13" s="69">
        <v>17.129348698782909</v>
      </c>
      <c r="F13" s="156">
        <v>17.441927488428998</v>
      </c>
      <c r="G13" s="156">
        <v>18.776551646944693</v>
      </c>
      <c r="H13" s="156">
        <v>35.031231079794814</v>
      </c>
      <c r="I13" s="156">
        <v>36.886188818405486</v>
      </c>
      <c r="J13" s="316">
        <v>26.657826933050799</v>
      </c>
      <c r="K13" s="316">
        <v>18.204030735292896</v>
      </c>
      <c r="L13" s="316">
        <v>23.748033267297508</v>
      </c>
      <c r="M13" s="316"/>
    </row>
    <row r="14" spans="1:14" ht="15" customHeight="1">
      <c r="A14" s="561"/>
      <c r="B14" s="69"/>
      <c r="C14" s="69"/>
      <c r="D14" s="69"/>
      <c r="E14" s="69"/>
      <c r="F14" s="156"/>
      <c r="G14" s="156"/>
      <c r="H14" s="156"/>
      <c r="I14" s="156"/>
      <c r="J14" s="316"/>
      <c r="K14" s="316"/>
      <c r="L14" s="316"/>
      <c r="M14" s="316"/>
    </row>
    <row r="15" spans="1:14" ht="18" customHeight="1">
      <c r="A15" s="87" t="s">
        <v>548</v>
      </c>
      <c r="B15" s="71">
        <v>1530.6906674459199</v>
      </c>
      <c r="C15" s="71">
        <v>1463.5495766671499</v>
      </c>
      <c r="D15" s="71">
        <v>1522.8609658464502</v>
      </c>
      <c r="E15" s="71">
        <v>1475.8033005769303</v>
      </c>
      <c r="F15" s="158">
        <v>1759.5152503807901</v>
      </c>
      <c r="G15" s="158">
        <v>1566.2395355787096</v>
      </c>
      <c r="H15" s="158">
        <v>1656.2965956676298</v>
      </c>
      <c r="I15" s="158">
        <v>1597.82017712176</v>
      </c>
      <c r="J15" s="318">
        <v>1778.4920869372302</v>
      </c>
      <c r="K15" s="318">
        <v>1541.1000029714899</v>
      </c>
      <c r="L15" s="318">
        <v>1726.7836224820499</v>
      </c>
      <c r="M15" s="318"/>
    </row>
    <row r="16" spans="1:14" ht="15" customHeight="1">
      <c r="A16" s="83" t="s">
        <v>477</v>
      </c>
      <c r="B16" s="69">
        <v>7.7973108837359995</v>
      </c>
      <c r="C16" s="69">
        <v>6.0615870807840011</v>
      </c>
      <c r="D16" s="69">
        <v>0.77063855629710076</v>
      </c>
      <c r="E16" s="69">
        <v>13.222605855397202</v>
      </c>
      <c r="F16" s="156">
        <v>-8.6287565828490003</v>
      </c>
      <c r="G16" s="156">
        <v>-21.943069437908999</v>
      </c>
      <c r="H16" s="156">
        <v>-7.0019431013010056</v>
      </c>
      <c r="I16" s="156">
        <v>-16.102237851335993</v>
      </c>
      <c r="J16" s="316">
        <v>-37.392887153999993</v>
      </c>
      <c r="K16" s="316">
        <v>-109.96321312812469</v>
      </c>
      <c r="L16" s="316">
        <v>-9.7537858590674205</v>
      </c>
      <c r="M16" s="316"/>
    </row>
    <row r="17" spans="1:13" ht="18" customHeight="1">
      <c r="A17" s="88" t="s">
        <v>535</v>
      </c>
      <c r="B17" s="71">
        <v>1538.4879783296558</v>
      </c>
      <c r="C17" s="71">
        <v>1469.6111637479341</v>
      </c>
      <c r="D17" s="71">
        <v>1523.6316044027471</v>
      </c>
      <c r="E17" s="71">
        <v>1489.0259064323272</v>
      </c>
      <c r="F17" s="158">
        <v>1750.8864937979411</v>
      </c>
      <c r="G17" s="158">
        <v>1544.2964661408005</v>
      </c>
      <c r="H17" s="158">
        <v>1649.2946525663288</v>
      </c>
      <c r="I17" s="158">
        <v>1581.7179392704247</v>
      </c>
      <c r="J17" s="318">
        <v>1741.0991997832302</v>
      </c>
      <c r="K17" s="318">
        <v>1431.136789843365</v>
      </c>
      <c r="L17" s="318">
        <v>1717.0298366229827</v>
      </c>
      <c r="M17" s="318"/>
    </row>
    <row r="18" spans="1:13" ht="15" customHeight="1">
      <c r="A18" s="83" t="s">
        <v>143</v>
      </c>
      <c r="B18" s="69">
        <v>-624.87252793959703</v>
      </c>
      <c r="C18" s="69">
        <v>-638.54655441904299</v>
      </c>
      <c r="D18" s="69">
        <v>-742.3572756292499</v>
      </c>
      <c r="E18" s="69">
        <v>-890.71288436999043</v>
      </c>
      <c r="F18" s="156">
        <v>-971.51999481795701</v>
      </c>
      <c r="G18" s="156">
        <v>-993.84689957852311</v>
      </c>
      <c r="H18" s="156">
        <v>-1064.9718910566596</v>
      </c>
      <c r="I18" s="156">
        <v>-1163.1152569699602</v>
      </c>
      <c r="J18" s="316">
        <v>-1225.6621105730901</v>
      </c>
      <c r="K18" s="316">
        <v>-1257.5681861707303</v>
      </c>
      <c r="L18" s="316">
        <v>-1375.6835311679697</v>
      </c>
      <c r="M18" s="316"/>
    </row>
    <row r="19" spans="1:13" ht="15" customHeight="1">
      <c r="A19" s="89" t="s">
        <v>593</v>
      </c>
      <c r="B19" s="75">
        <v>0</v>
      </c>
      <c r="C19" s="75">
        <v>0</v>
      </c>
      <c r="D19" s="75">
        <v>0</v>
      </c>
      <c r="E19" s="75">
        <v>0</v>
      </c>
      <c r="F19" s="162">
        <v>0</v>
      </c>
      <c r="G19" s="162">
        <v>0</v>
      </c>
      <c r="H19" s="162">
        <v>0</v>
      </c>
      <c r="I19" s="162">
        <v>0</v>
      </c>
      <c r="J19" s="325">
        <v>0</v>
      </c>
      <c r="K19" s="325">
        <v>0</v>
      </c>
      <c r="L19" s="325">
        <v>0</v>
      </c>
      <c r="M19" s="325"/>
    </row>
    <row r="20" spans="1:13" ht="18" customHeight="1">
      <c r="A20" s="84" t="s">
        <v>534</v>
      </c>
      <c r="B20" s="73">
        <v>913.61545039005875</v>
      </c>
      <c r="C20" s="73">
        <v>831.06460932889115</v>
      </c>
      <c r="D20" s="73">
        <v>781.27432877349702</v>
      </c>
      <c r="E20" s="73">
        <v>598.31302206233704</v>
      </c>
      <c r="F20" s="160">
        <v>779.36649897998404</v>
      </c>
      <c r="G20" s="160">
        <v>550.44956656227737</v>
      </c>
      <c r="H20" s="160">
        <v>584.32283191966917</v>
      </c>
      <c r="I20" s="160">
        <v>418.60261189046446</v>
      </c>
      <c r="J20" s="320">
        <v>515.43708921014013</v>
      </c>
      <c r="K20" s="320">
        <v>173.56860367263471</v>
      </c>
      <c r="L20" s="320">
        <v>341.34630545501295</v>
      </c>
      <c r="M20" s="320"/>
    </row>
    <row r="21" spans="1:13" ht="15" customHeight="1">
      <c r="A21" s="83"/>
      <c r="B21" s="69"/>
      <c r="C21" s="69"/>
      <c r="D21" s="69"/>
      <c r="E21" s="69"/>
      <c r="F21" s="156"/>
      <c r="G21" s="156"/>
      <c r="H21" s="156"/>
      <c r="I21" s="156"/>
      <c r="J21" s="316"/>
      <c r="K21" s="316"/>
      <c r="L21" s="316"/>
      <c r="M21" s="316"/>
    </row>
    <row r="22" spans="1:13" ht="15" customHeight="1">
      <c r="A22" s="83" t="s">
        <v>479</v>
      </c>
      <c r="B22" s="74">
        <v>36.559797046451962</v>
      </c>
      <c r="C22" s="74">
        <v>36.327340451604954</v>
      </c>
      <c r="D22" s="74">
        <v>37.316486464337778</v>
      </c>
      <c r="E22" s="74">
        <v>28.028300070026148</v>
      </c>
      <c r="F22" s="161">
        <v>32.328574960648503</v>
      </c>
      <c r="G22" s="161">
        <v>30.640920905824061</v>
      </c>
      <c r="H22" s="161">
        <v>36.002862147730077</v>
      </c>
      <c r="I22" s="161">
        <v>28.880049026069841</v>
      </c>
      <c r="J22" s="323">
        <v>33.810896341305224</v>
      </c>
      <c r="K22" s="323">
        <v>33.289223764144637</v>
      </c>
      <c r="L22" s="323">
        <v>36.966727984413758</v>
      </c>
      <c r="M22" s="323"/>
    </row>
    <row r="23" spans="1:13" ht="15" customHeight="1">
      <c r="A23" s="83" t="s">
        <v>62</v>
      </c>
      <c r="B23" s="74">
        <v>36.746031998738658</v>
      </c>
      <c r="C23" s="74">
        <v>36.477797491852371</v>
      </c>
      <c r="D23" s="74">
        <v>37.335370344022074</v>
      </c>
      <c r="E23" s="74">
        <v>28.279422400812283</v>
      </c>
      <c r="F23" s="161">
        <v>32.170033905692911</v>
      </c>
      <c r="G23" s="161">
        <v>30.211640556423642</v>
      </c>
      <c r="H23" s="161">
        <v>35.850661151301189</v>
      </c>
      <c r="I23" s="161">
        <v>28.589006626409013</v>
      </c>
      <c r="J23" s="323">
        <v>33.100020515232103</v>
      </c>
      <c r="K23" s="323">
        <v>30.913913920144726</v>
      </c>
      <c r="L23" s="323">
        <v>36.757920381668434</v>
      </c>
      <c r="M23" s="323"/>
    </row>
    <row r="24" spans="1:13" ht="15" customHeight="1">
      <c r="A24" s="83" t="s">
        <v>63</v>
      </c>
      <c r="B24" s="74">
        <v>21.821257655210371</v>
      </c>
      <c r="C24" s="74">
        <v>20.628181977354902</v>
      </c>
      <c r="D24" s="74">
        <v>19.144500757760195</v>
      </c>
      <c r="E24" s="74">
        <v>11.36309758326983</v>
      </c>
      <c r="F24" s="161">
        <v>14.319744190134061</v>
      </c>
      <c r="G24" s="161">
        <v>10.768647610116645</v>
      </c>
      <c r="H24" s="161">
        <v>12.701405305307208</v>
      </c>
      <c r="I24" s="161">
        <v>7.5660979420190735</v>
      </c>
      <c r="J24" s="323">
        <v>9.7989696562328437</v>
      </c>
      <c r="K24" s="323">
        <v>3.7492466906415065</v>
      </c>
      <c r="L24" s="323">
        <v>7.3074911401478984</v>
      </c>
      <c r="M24" s="323"/>
    </row>
    <row r="25" spans="1:13" ht="15" customHeight="1">
      <c r="A25" s="83"/>
      <c r="B25" s="69"/>
      <c r="C25" s="69"/>
      <c r="D25" s="69"/>
      <c r="E25" s="69"/>
      <c r="F25" s="156"/>
      <c r="G25" s="156"/>
      <c r="H25" s="156"/>
      <c r="I25" s="156"/>
      <c r="J25" s="316"/>
      <c r="K25" s="316"/>
      <c r="L25" s="316"/>
      <c r="M25" s="316"/>
    </row>
    <row r="26" spans="1:13" ht="15" customHeight="1">
      <c r="A26" s="83" t="s">
        <v>64</v>
      </c>
      <c r="B26" s="69">
        <v>554.14975200000003</v>
      </c>
      <c r="C26" s="69">
        <v>858.38154999999983</v>
      </c>
      <c r="D26" s="69">
        <v>404.83103870000014</v>
      </c>
      <c r="E26" s="69">
        <v>904.03415730000006</v>
      </c>
      <c r="F26" s="156">
        <v>1313.5703713</v>
      </c>
      <c r="G26" s="156">
        <v>730.65923589999989</v>
      </c>
      <c r="H26" s="156">
        <v>1788.7795040401602</v>
      </c>
      <c r="I26" s="156">
        <v>932.75516925984039</v>
      </c>
      <c r="J26" s="316">
        <v>1139.1258049999999</v>
      </c>
      <c r="K26" s="316">
        <v>1003.2254673290001</v>
      </c>
      <c r="L26" s="316">
        <v>1279.7891409029999</v>
      </c>
      <c r="M26" s="316"/>
    </row>
    <row r="27" spans="1:13" ht="15" customHeight="1">
      <c r="A27" s="83" t="s">
        <v>0</v>
      </c>
      <c r="B27" s="69">
        <v>0</v>
      </c>
      <c r="C27" s="69">
        <v>0</v>
      </c>
      <c r="D27" s="69">
        <v>0</v>
      </c>
      <c r="E27" s="69">
        <v>0</v>
      </c>
      <c r="F27" s="156">
        <v>0</v>
      </c>
      <c r="G27" s="156">
        <v>0</v>
      </c>
      <c r="H27" s="156">
        <v>0</v>
      </c>
      <c r="I27" s="156">
        <v>0</v>
      </c>
      <c r="J27" s="316">
        <v>0</v>
      </c>
      <c r="K27" s="316">
        <v>0</v>
      </c>
      <c r="L27" s="316">
        <v>0</v>
      </c>
      <c r="M27" s="316"/>
    </row>
    <row r="28" spans="1:13" s="190" customFormat="1" ht="15" customHeight="1">
      <c r="A28" s="196" t="s">
        <v>480</v>
      </c>
      <c r="B28" s="270">
        <v>554.14975200000003</v>
      </c>
      <c r="C28" s="270">
        <v>858.38154999999983</v>
      </c>
      <c r="D28" s="270">
        <v>404.83103870000014</v>
      </c>
      <c r="E28" s="270">
        <v>904.03842530000009</v>
      </c>
      <c r="F28" s="207">
        <v>1313.5703713</v>
      </c>
      <c r="G28" s="207">
        <v>730.65923589999989</v>
      </c>
      <c r="H28" s="207">
        <v>1788.7795040401602</v>
      </c>
      <c r="I28" s="207">
        <v>932.75516925984039</v>
      </c>
      <c r="J28" s="316">
        <v>1139.1258049999999</v>
      </c>
      <c r="K28" s="316">
        <v>1003.3327009790002</v>
      </c>
      <c r="L28" s="316">
        <v>1279.681907253</v>
      </c>
      <c r="M28" s="316"/>
    </row>
    <row r="29" spans="1:13" ht="15" customHeight="1">
      <c r="A29" s="90"/>
      <c r="B29" s="75"/>
      <c r="C29" s="75"/>
      <c r="D29" s="75"/>
      <c r="E29" s="75"/>
      <c r="F29" s="162"/>
      <c r="G29" s="162"/>
      <c r="H29" s="162"/>
      <c r="I29" s="162"/>
      <c r="J29" s="325"/>
      <c r="K29" s="325"/>
      <c r="L29" s="325"/>
      <c r="M29" s="325"/>
    </row>
    <row r="30" spans="1:13" ht="15" customHeight="1">
      <c r="A30" s="91" t="s">
        <v>373</v>
      </c>
      <c r="B30" s="69">
        <v>28226</v>
      </c>
      <c r="C30" s="69">
        <v>28039</v>
      </c>
      <c r="D30" s="69">
        <v>27779.861000000001</v>
      </c>
      <c r="E30" s="69">
        <v>28007.773000000001</v>
      </c>
      <c r="F30" s="156">
        <v>28426.508999999998</v>
      </c>
      <c r="G30" s="156">
        <v>26942.962</v>
      </c>
      <c r="H30" s="156">
        <v>24851.276000000002</v>
      </c>
      <c r="I30" s="156">
        <v>25251.678</v>
      </c>
      <c r="J30" s="316">
        <v>25477</v>
      </c>
      <c r="K30" s="316">
        <v>24952.602999999999</v>
      </c>
      <c r="L30" s="316">
        <v>24820.462</v>
      </c>
      <c r="M30" s="316"/>
    </row>
    <row r="31" spans="1:13" ht="15" customHeight="1">
      <c r="A31" s="83" t="s">
        <v>376</v>
      </c>
      <c r="B31" s="69">
        <v>24626</v>
      </c>
      <c r="C31" s="69">
        <v>24380</v>
      </c>
      <c r="D31" s="69">
        <v>24033.223999999998</v>
      </c>
      <c r="E31" s="69">
        <v>24158.69</v>
      </c>
      <c r="F31" s="156">
        <v>24421.951000000001</v>
      </c>
      <c r="G31" s="156">
        <v>22854.852999999999</v>
      </c>
      <c r="H31" s="156">
        <v>20735.637999999999</v>
      </c>
      <c r="I31" s="156">
        <v>20928.11</v>
      </c>
      <c r="J31" s="316">
        <v>21045</v>
      </c>
      <c r="K31" s="316">
        <v>20330.04</v>
      </c>
      <c r="L31" s="316">
        <v>20002.510999999999</v>
      </c>
      <c r="M31" s="316"/>
    </row>
    <row r="32" spans="1:13" ht="15" customHeight="1">
      <c r="A32" s="83" t="s">
        <v>374</v>
      </c>
      <c r="B32" s="69">
        <v>249</v>
      </c>
      <c r="C32" s="69">
        <v>235</v>
      </c>
      <c r="D32" s="69">
        <v>229.43636802090299</v>
      </c>
      <c r="E32" s="69">
        <v>227.81366737692301</v>
      </c>
      <c r="F32" s="156">
        <v>214.051161913767</v>
      </c>
      <c r="G32" s="156">
        <v>203.95538559940999</v>
      </c>
      <c r="H32" s="156">
        <v>206.011099247846</v>
      </c>
      <c r="I32" s="156">
        <v>209.90819827000601</v>
      </c>
      <c r="J32" s="316">
        <v>193.730212313132</v>
      </c>
      <c r="K32" s="316">
        <v>176.45378393998601</v>
      </c>
      <c r="L32" s="316">
        <v>169.14348016692699</v>
      </c>
      <c r="M32" s="316"/>
    </row>
    <row r="33" spans="1:13" ht="15" customHeight="1">
      <c r="A33" s="83" t="s">
        <v>375</v>
      </c>
      <c r="B33" s="69">
        <v>42</v>
      </c>
      <c r="C33" s="69">
        <v>41</v>
      </c>
      <c r="D33" s="69">
        <v>42.412669999999999</v>
      </c>
      <c r="E33" s="69">
        <v>46.313938081987992</v>
      </c>
      <c r="F33" s="156">
        <v>50.903924528810002</v>
      </c>
      <c r="G33" s="156">
        <v>50.131789145550002</v>
      </c>
      <c r="H33" s="156">
        <v>51.243411799999997</v>
      </c>
      <c r="I33" s="156">
        <v>55.752689999999994</v>
      </c>
      <c r="J33" s="316">
        <v>55.198848572950823</v>
      </c>
      <c r="K33" s="316">
        <v>52.635371739999997</v>
      </c>
      <c r="L33" s="316">
        <v>55.15410241</v>
      </c>
      <c r="M33" s="316"/>
    </row>
    <row r="34" spans="1:13" ht="15" customHeight="1">
      <c r="A34" s="83" t="s">
        <v>377</v>
      </c>
      <c r="B34" s="69">
        <v>115</v>
      </c>
      <c r="C34" s="69">
        <v>113</v>
      </c>
      <c r="D34" s="69">
        <v>113.85641</v>
      </c>
      <c r="E34" s="69">
        <v>120.71870447455798</v>
      </c>
      <c r="F34" s="156">
        <v>135.18458217384</v>
      </c>
      <c r="G34" s="156">
        <v>126.91282865814</v>
      </c>
      <c r="H34" s="156">
        <v>124.400226</v>
      </c>
      <c r="I34" s="156">
        <v>126.12333999999998</v>
      </c>
      <c r="J34" s="316">
        <v>125.56650017049181</v>
      </c>
      <c r="K34" s="316">
        <v>122.48636384</v>
      </c>
      <c r="L34" s="316">
        <v>125.72239117000001</v>
      </c>
      <c r="M34" s="316"/>
    </row>
    <row r="35" spans="1:13" ht="15" customHeight="1">
      <c r="A35" s="89" t="s">
        <v>376</v>
      </c>
      <c r="B35" s="75">
        <v>31</v>
      </c>
      <c r="C35" s="75">
        <v>31</v>
      </c>
      <c r="D35" s="75">
        <v>31.49344</v>
      </c>
      <c r="E35" s="75">
        <v>34.64819889644</v>
      </c>
      <c r="F35" s="162">
        <v>37.352514939749994</v>
      </c>
      <c r="G35" s="162">
        <v>37.064782422360004</v>
      </c>
      <c r="H35" s="162">
        <v>37.806265000000003</v>
      </c>
      <c r="I35" s="162">
        <v>41.3852726</v>
      </c>
      <c r="J35" s="325">
        <v>40.589650570327869</v>
      </c>
      <c r="K35" s="325">
        <v>37.369055260000003</v>
      </c>
      <c r="L35" s="325">
        <v>38.6413583</v>
      </c>
      <c r="M35" s="325"/>
    </row>
  </sheetData>
  <mergeCells count="3">
    <mergeCell ref="B4:E4"/>
    <mergeCell ref="F4:I4"/>
    <mergeCell ref="J4:M4"/>
  </mergeCells>
  <phoneticPr fontId="16" type="noConversion"/>
  <pageMargins left="0.35" right="0.28999999999999998" top="0.984251969" bottom="0.984251969" header="0.5" footer="0.5"/>
  <pageSetup paperSize="9" scale="7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enableFormatConditionsCalculation="0">
    <tabColor indexed="24"/>
    <pageSetUpPr fitToPage="1"/>
  </sheetPr>
  <dimension ref="A1:N35"/>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4" ht="15" customHeight="1"/>
    <row r="2" spans="1:14" ht="15" customHeight="1"/>
    <row r="3" spans="1:14" ht="15" customHeight="1" thickBot="1">
      <c r="A3" s="92" t="s">
        <v>638</v>
      </c>
      <c r="B3" s="299"/>
      <c r="C3" s="299"/>
      <c r="D3" s="299"/>
      <c r="E3" s="299"/>
      <c r="F3" s="305"/>
      <c r="G3" s="305"/>
      <c r="H3" s="305"/>
      <c r="I3" s="305"/>
      <c r="J3" s="393"/>
      <c r="K3" s="393"/>
      <c r="L3" s="393"/>
      <c r="M3" s="393"/>
    </row>
    <row r="4" spans="1:14" ht="15" customHeight="1" thickBot="1">
      <c r="A4" s="78"/>
      <c r="B4" s="576">
        <v>2014</v>
      </c>
      <c r="C4" s="577"/>
      <c r="D4" s="577"/>
      <c r="E4" s="578"/>
      <c r="F4" s="579">
        <v>2015</v>
      </c>
      <c r="G4" s="580"/>
      <c r="H4" s="580"/>
      <c r="I4" s="581"/>
      <c r="J4" s="582">
        <v>2016</v>
      </c>
      <c r="K4" s="583"/>
      <c r="L4" s="583"/>
      <c r="M4" s="583"/>
    </row>
    <row r="5" spans="1:14" ht="15" customHeight="1" thickBot="1">
      <c r="A5" s="79" t="s">
        <v>527</v>
      </c>
      <c r="B5" s="262" t="s">
        <v>510</v>
      </c>
      <c r="C5" s="262" t="s">
        <v>511</v>
      </c>
      <c r="D5" s="262" t="s">
        <v>513</v>
      </c>
      <c r="E5" s="263" t="s">
        <v>514</v>
      </c>
      <c r="F5" s="307" t="s">
        <v>510</v>
      </c>
      <c r="G5" s="307" t="s">
        <v>511</v>
      </c>
      <c r="H5" s="307" t="s">
        <v>513</v>
      </c>
      <c r="I5" s="310" t="s">
        <v>514</v>
      </c>
      <c r="J5" s="235" t="s">
        <v>510</v>
      </c>
      <c r="K5" s="235" t="s">
        <v>511</v>
      </c>
      <c r="L5" s="235" t="s">
        <v>513</v>
      </c>
      <c r="M5" s="496" t="s">
        <v>514</v>
      </c>
      <c r="N5" s="389"/>
    </row>
    <row r="6" spans="1:14" ht="15" customHeight="1">
      <c r="A6" s="82" t="s">
        <v>61</v>
      </c>
      <c r="B6" s="69">
        <v>2686.8105630549999</v>
      </c>
      <c r="C6" s="69">
        <v>2718.9681006654</v>
      </c>
      <c r="D6" s="69">
        <v>2912.1156961950901</v>
      </c>
      <c r="E6" s="69">
        <v>3116.5315160750088</v>
      </c>
      <c r="F6" s="156">
        <v>3217.8769937218799</v>
      </c>
      <c r="G6" s="156">
        <v>3180.3961670959193</v>
      </c>
      <c r="H6" s="156">
        <v>3038.2564742640507</v>
      </c>
      <c r="I6" s="156">
        <v>2988.3976422303513</v>
      </c>
      <c r="J6" s="316">
        <v>3044.9683883935095</v>
      </c>
      <c r="K6" s="316">
        <v>3030.2850654301901</v>
      </c>
      <c r="L6" s="316">
        <v>2998.3963173388511</v>
      </c>
      <c r="M6" s="316"/>
    </row>
    <row r="7" spans="1:14" ht="15" customHeight="1">
      <c r="A7" s="83" t="s">
        <v>140</v>
      </c>
      <c r="B7" s="69">
        <v>157.17922911500003</v>
      </c>
      <c r="C7" s="69">
        <v>156.36899271589996</v>
      </c>
      <c r="D7" s="69">
        <v>163.91598326124995</v>
      </c>
      <c r="E7" s="69">
        <v>176.27940687243614</v>
      </c>
      <c r="F7" s="156">
        <v>159.02796480228</v>
      </c>
      <c r="G7" s="156">
        <v>156.11080526502002</v>
      </c>
      <c r="H7" s="156">
        <v>141.96102796419194</v>
      </c>
      <c r="I7" s="156">
        <v>138.44807158814507</v>
      </c>
      <c r="J7" s="316">
        <v>144.41610038709197</v>
      </c>
      <c r="K7" s="316">
        <v>147.22831450874102</v>
      </c>
      <c r="L7" s="316">
        <v>165.62256452375601</v>
      </c>
      <c r="M7" s="316"/>
    </row>
    <row r="8" spans="1:14" ht="18" customHeight="1">
      <c r="A8" s="84" t="s">
        <v>6</v>
      </c>
      <c r="B8" s="70">
        <v>2843.9897921699999</v>
      </c>
      <c r="C8" s="70">
        <v>2875.3370933812998</v>
      </c>
      <c r="D8" s="70">
        <v>3076.0316794563405</v>
      </c>
      <c r="E8" s="70">
        <v>3292.8109229474449</v>
      </c>
      <c r="F8" s="157">
        <v>3376.9049585241601</v>
      </c>
      <c r="G8" s="157">
        <v>3336.5069723609395</v>
      </c>
      <c r="H8" s="157">
        <v>3180.2175022282418</v>
      </c>
      <c r="I8" s="157">
        <v>3126.8457138184967</v>
      </c>
      <c r="J8" s="317">
        <v>3189.3844887806013</v>
      </c>
      <c r="K8" s="317">
        <v>3177.5133799389309</v>
      </c>
      <c r="L8" s="317">
        <v>3164.0188818626066</v>
      </c>
      <c r="M8" s="317"/>
    </row>
    <row r="9" spans="1:14" ht="15" customHeight="1">
      <c r="A9" s="83" t="s">
        <v>550</v>
      </c>
      <c r="B9" s="69">
        <v>35.628505420000003</v>
      </c>
      <c r="C9" s="69">
        <v>37.338191679099999</v>
      </c>
      <c r="D9" s="69">
        <v>40.426673123533988</v>
      </c>
      <c r="E9" s="69">
        <v>28.875535656102016</v>
      </c>
      <c r="F9" s="156">
        <v>27.959536667160002</v>
      </c>
      <c r="G9" s="156">
        <v>37.216723421039895</v>
      </c>
      <c r="H9" s="156">
        <v>38.826423816704107</v>
      </c>
      <c r="I9" s="156">
        <v>32.830650476851005</v>
      </c>
      <c r="J9" s="316">
        <v>26.331202207026102</v>
      </c>
      <c r="K9" s="316">
        <v>31.352259491459996</v>
      </c>
      <c r="L9" s="316">
        <v>28.745694586233995</v>
      </c>
      <c r="M9" s="316"/>
    </row>
    <row r="10" spans="1:14" ht="18" customHeight="1">
      <c r="A10" s="84" t="s">
        <v>60</v>
      </c>
      <c r="B10" s="70">
        <v>2879.6182975899997</v>
      </c>
      <c r="C10" s="70">
        <v>2912.6752850604003</v>
      </c>
      <c r="D10" s="70">
        <v>3116.4583525798735</v>
      </c>
      <c r="E10" s="70">
        <v>3321.6864586035481</v>
      </c>
      <c r="F10" s="157">
        <v>3404.8644951913202</v>
      </c>
      <c r="G10" s="157">
        <v>3373.7236957819796</v>
      </c>
      <c r="H10" s="157">
        <v>3219.0439260449457</v>
      </c>
      <c r="I10" s="157">
        <v>3159.6763642953483</v>
      </c>
      <c r="J10" s="317">
        <v>3215.7156909876276</v>
      </c>
      <c r="K10" s="317">
        <v>3208.8656394303907</v>
      </c>
      <c r="L10" s="317">
        <v>3192.7645764488398</v>
      </c>
      <c r="M10" s="317"/>
    </row>
    <row r="11" spans="1:14" ht="15" customHeight="1">
      <c r="A11" s="83" t="s">
        <v>136</v>
      </c>
      <c r="B11" s="72">
        <v>293.55103012500001</v>
      </c>
      <c r="C11" s="72">
        <v>317.57039566890001</v>
      </c>
      <c r="D11" s="72">
        <v>325.87155397880599</v>
      </c>
      <c r="E11" s="72">
        <v>345.30105884655416</v>
      </c>
      <c r="F11" s="159">
        <v>431.80367711291996</v>
      </c>
      <c r="G11" s="159">
        <v>275.40079513578002</v>
      </c>
      <c r="H11" s="159">
        <v>171.061214590708</v>
      </c>
      <c r="I11" s="159">
        <v>270.15074726671207</v>
      </c>
      <c r="J11" s="319">
        <v>189.46917767143799</v>
      </c>
      <c r="K11" s="319">
        <v>202.30953484098302</v>
      </c>
      <c r="L11" s="319">
        <v>131.44149484519897</v>
      </c>
      <c r="M11" s="319"/>
    </row>
    <row r="12" spans="1:14" ht="18" customHeight="1">
      <c r="A12" s="558" t="s">
        <v>385</v>
      </c>
      <c r="B12" s="70">
        <v>3173.1693277149998</v>
      </c>
      <c r="C12" s="70">
        <v>3230.2456807293001</v>
      </c>
      <c r="D12" s="70">
        <v>3442.3299065586789</v>
      </c>
      <c r="E12" s="70">
        <v>3666.987517450103</v>
      </c>
      <c r="F12" s="157">
        <v>3836.6681723042402</v>
      </c>
      <c r="G12" s="157">
        <v>3649.1244909177594</v>
      </c>
      <c r="H12" s="157">
        <v>3390.1051406356537</v>
      </c>
      <c r="I12" s="157">
        <v>3429.827111562061</v>
      </c>
      <c r="J12" s="317">
        <v>3405.1848686590656</v>
      </c>
      <c r="K12" s="317">
        <v>3411.1751742713741</v>
      </c>
      <c r="L12" s="317">
        <v>3324.2060712940392</v>
      </c>
      <c r="M12" s="317"/>
    </row>
    <row r="13" spans="1:14" ht="18" customHeight="1">
      <c r="A13" s="557" t="s">
        <v>386</v>
      </c>
      <c r="B13" s="69">
        <v>1.8559763300000001</v>
      </c>
      <c r="C13" s="69">
        <v>1.2863977125000001</v>
      </c>
      <c r="D13" s="69">
        <v>0</v>
      </c>
      <c r="E13" s="69">
        <v>0.91963396028757005</v>
      </c>
      <c r="F13" s="156">
        <v>0.86764158387777102</v>
      </c>
      <c r="G13" s="156">
        <v>0.84278288760049891</v>
      </c>
      <c r="H13" s="156">
        <v>1.0796623349176997</v>
      </c>
      <c r="I13" s="156">
        <v>0.77646199067480026</v>
      </c>
      <c r="J13" s="316">
        <v>1.57867776905171</v>
      </c>
      <c r="K13" s="316">
        <v>6.7106579766883101</v>
      </c>
      <c r="L13" s="316">
        <v>4.7417236274249799</v>
      </c>
      <c r="M13" s="316"/>
    </row>
    <row r="14" spans="1:14" ht="15" customHeight="1">
      <c r="A14" s="86"/>
      <c r="B14" s="69"/>
      <c r="C14" s="69"/>
      <c r="D14" s="69"/>
      <c r="E14" s="69"/>
      <c r="F14" s="156"/>
      <c r="G14" s="156"/>
      <c r="H14" s="156"/>
      <c r="I14" s="156"/>
      <c r="J14" s="316"/>
      <c r="K14" s="316"/>
      <c r="L14" s="316"/>
      <c r="M14" s="316"/>
    </row>
    <row r="15" spans="1:14" ht="18" customHeight="1">
      <c r="A15" s="87" t="s">
        <v>548</v>
      </c>
      <c r="B15" s="71">
        <v>1422.5543024574999</v>
      </c>
      <c r="C15" s="71">
        <v>1466.5060501789999</v>
      </c>
      <c r="D15" s="71">
        <v>1557.6271882897004</v>
      </c>
      <c r="E15" s="71">
        <v>1639.6187763907701</v>
      </c>
      <c r="F15" s="158">
        <v>1672.4481524345299</v>
      </c>
      <c r="G15" s="158">
        <v>1659.7039240983597</v>
      </c>
      <c r="H15" s="158">
        <v>1506.8187985736404</v>
      </c>
      <c r="I15" s="158">
        <v>1385.3218166314609</v>
      </c>
      <c r="J15" s="318">
        <v>1431.1706606017399</v>
      </c>
      <c r="K15" s="318">
        <v>1541.3827254844502</v>
      </c>
      <c r="L15" s="318">
        <v>1591.5327227163293</v>
      </c>
      <c r="M15" s="318"/>
    </row>
    <row r="16" spans="1:14" ht="15" customHeight="1">
      <c r="A16" s="83" t="s">
        <v>477</v>
      </c>
      <c r="B16" s="69">
        <v>9.8969097000000001</v>
      </c>
      <c r="C16" s="69">
        <v>0</v>
      </c>
      <c r="D16" s="69">
        <v>0</v>
      </c>
      <c r="E16" s="69">
        <v>3.1131513530900019</v>
      </c>
      <c r="F16" s="156">
        <v>0</v>
      </c>
      <c r="G16" s="156">
        <v>0</v>
      </c>
      <c r="H16" s="156">
        <v>0.62484480055399994</v>
      </c>
      <c r="I16" s="156">
        <v>0</v>
      </c>
      <c r="J16" s="316">
        <v>0</v>
      </c>
      <c r="K16" s="316">
        <v>0</v>
      </c>
      <c r="L16" s="316">
        <v>0</v>
      </c>
      <c r="M16" s="316"/>
    </row>
    <row r="17" spans="1:13" ht="18" customHeight="1">
      <c r="A17" s="88" t="s">
        <v>535</v>
      </c>
      <c r="B17" s="71">
        <v>1432.4512121574999</v>
      </c>
      <c r="C17" s="71">
        <v>1466.3282721662999</v>
      </c>
      <c r="D17" s="71">
        <v>1557.8902422870542</v>
      </c>
      <c r="E17" s="71">
        <v>1642.7319277438601</v>
      </c>
      <c r="F17" s="158">
        <v>1672.4481524345299</v>
      </c>
      <c r="G17" s="158">
        <v>1659.6975103488596</v>
      </c>
      <c r="H17" s="158">
        <v>1507.4436433741948</v>
      </c>
      <c r="I17" s="158">
        <v>1385.2189915358167</v>
      </c>
      <c r="J17" s="318">
        <v>1431.1706606017399</v>
      </c>
      <c r="K17" s="318">
        <v>1541.3819253078948</v>
      </c>
      <c r="L17" s="318">
        <v>1591.6084499252279</v>
      </c>
      <c r="M17" s="318"/>
    </row>
    <row r="18" spans="1:13" ht="15" customHeight="1">
      <c r="A18" s="83" t="s">
        <v>143</v>
      </c>
      <c r="B18" s="69">
        <v>-220.82147495249998</v>
      </c>
      <c r="C18" s="69">
        <v>-215.79514771770002</v>
      </c>
      <c r="D18" s="69">
        <v>-254.43701055437799</v>
      </c>
      <c r="E18" s="69">
        <v>-283.18802706676195</v>
      </c>
      <c r="F18" s="156">
        <v>-301.55895114006398</v>
      </c>
      <c r="G18" s="156">
        <v>-317.62893614536006</v>
      </c>
      <c r="H18" s="156">
        <v>-345.83840733014097</v>
      </c>
      <c r="I18" s="156">
        <v>-365.63203637149502</v>
      </c>
      <c r="J18" s="316">
        <v>-320.676464043696</v>
      </c>
      <c r="K18" s="316">
        <v>-295.98306347145603</v>
      </c>
      <c r="L18" s="316">
        <v>-357.68975539334895</v>
      </c>
      <c r="M18" s="316"/>
    </row>
    <row r="19" spans="1:13" ht="15" customHeight="1">
      <c r="A19" s="89" t="s">
        <v>593</v>
      </c>
      <c r="B19" s="75">
        <v>0</v>
      </c>
      <c r="C19" s="75">
        <v>0</v>
      </c>
      <c r="D19" s="75">
        <v>0</v>
      </c>
      <c r="E19" s="75">
        <v>0</v>
      </c>
      <c r="F19" s="162">
        <v>0</v>
      </c>
      <c r="G19" s="162">
        <v>0</v>
      </c>
      <c r="H19" s="162">
        <v>0</v>
      </c>
      <c r="I19" s="162">
        <v>28.694279731095001</v>
      </c>
      <c r="J19" s="325">
        <v>0</v>
      </c>
      <c r="K19" s="325">
        <v>0</v>
      </c>
      <c r="L19" s="325">
        <v>0</v>
      </c>
      <c r="M19" s="325"/>
    </row>
    <row r="20" spans="1:13" ht="18" customHeight="1">
      <c r="A20" s="84" t="s">
        <v>534</v>
      </c>
      <c r="B20" s="73">
        <v>1211.6297372049999</v>
      </c>
      <c r="C20" s="73">
        <v>1250.5331244486001</v>
      </c>
      <c r="D20" s="73">
        <v>1303.4532317326762</v>
      </c>
      <c r="E20" s="73">
        <v>1359.543900677098</v>
      </c>
      <c r="F20" s="160">
        <v>1370.8892012944659</v>
      </c>
      <c r="G20" s="160">
        <v>1342.0685742034996</v>
      </c>
      <c r="H20" s="160">
        <v>1161.605236044054</v>
      </c>
      <c r="I20" s="160">
        <v>1048.2812348954162</v>
      </c>
      <c r="J20" s="320">
        <v>1110.4941965580438</v>
      </c>
      <c r="K20" s="320">
        <v>1245.3988618364388</v>
      </c>
      <c r="L20" s="320">
        <v>1233.9186945318793</v>
      </c>
      <c r="M20" s="320"/>
    </row>
    <row r="21" spans="1:13" ht="15" customHeight="1">
      <c r="A21" s="83"/>
      <c r="B21" s="69"/>
      <c r="C21" s="69"/>
      <c r="D21" s="69"/>
      <c r="E21" s="69"/>
      <c r="F21" s="156"/>
      <c r="G21" s="156"/>
      <c r="H21" s="156"/>
      <c r="I21" s="156"/>
      <c r="J21" s="316"/>
      <c r="K21" s="316"/>
      <c r="L21" s="316"/>
      <c r="M21" s="316"/>
    </row>
    <row r="22" spans="1:13" ht="15" customHeight="1">
      <c r="A22" s="83" t="s">
        <v>479</v>
      </c>
      <c r="B22" s="74">
        <v>44.830708844708326</v>
      </c>
      <c r="C22" s="74">
        <v>45.399210930851034</v>
      </c>
      <c r="D22" s="74">
        <v>45.24921290437473</v>
      </c>
      <c r="E22" s="74">
        <v>44.712963122680726</v>
      </c>
      <c r="F22" s="161">
        <v>43.591159759591221</v>
      </c>
      <c r="G22" s="161">
        <v>45.482250008986185</v>
      </c>
      <c r="H22" s="161">
        <v>44.447553573253124</v>
      </c>
      <c r="I22" s="161">
        <v>40.390427026525479</v>
      </c>
      <c r="J22" s="323">
        <v>42.029161875294115</v>
      </c>
      <c r="K22" s="323">
        <v>45.186267099686226</v>
      </c>
      <c r="L22" s="323">
        <v>47.877077671565083</v>
      </c>
      <c r="M22" s="323"/>
    </row>
    <row r="23" spans="1:13" ht="15" customHeight="1">
      <c r="A23" s="83" t="s">
        <v>62</v>
      </c>
      <c r="B23" s="74">
        <v>45.142602370640219</v>
      </c>
      <c r="C23" s="74">
        <v>45.39370738622096</v>
      </c>
      <c r="D23" s="74">
        <v>45.256854647162157</v>
      </c>
      <c r="E23" s="74">
        <v>44.797859821627085</v>
      </c>
      <c r="F23" s="161">
        <v>43.591159759591221</v>
      </c>
      <c r="G23" s="161">
        <v>45.482074247662716</v>
      </c>
      <c r="H23" s="161">
        <v>44.465985001619899</v>
      </c>
      <c r="I23" s="161">
        <v>40.387429059214021</v>
      </c>
      <c r="J23" s="323">
        <v>42.029161875294115</v>
      </c>
      <c r="K23" s="323">
        <v>45.186243642182156</v>
      </c>
      <c r="L23" s="323">
        <v>47.879355725550738</v>
      </c>
      <c r="M23" s="323"/>
    </row>
    <row r="24" spans="1:13" ht="15" customHeight="1">
      <c r="A24" s="83" t="s">
        <v>63</v>
      </c>
      <c r="B24" s="74">
        <v>38.183582786535212</v>
      </c>
      <c r="C24" s="74">
        <v>38.713251190425382</v>
      </c>
      <c r="D24" s="74">
        <v>37.865436117822519</v>
      </c>
      <c r="E24" s="74">
        <v>37.075225759766916</v>
      </c>
      <c r="F24" s="161">
        <v>35.731242310463671</v>
      </c>
      <c r="G24" s="161">
        <v>36.777823764131647</v>
      </c>
      <c r="H24" s="161">
        <v>34.264578467505871</v>
      </c>
      <c r="I24" s="161">
        <v>30.563675683874138</v>
      </c>
      <c r="J24" s="323">
        <v>32.61186218636486</v>
      </c>
      <c r="K24" s="323">
        <v>36.50937868069046</v>
      </c>
      <c r="L24" s="323">
        <v>37.119199835031353</v>
      </c>
      <c r="M24" s="323"/>
    </row>
    <row r="25" spans="1:13" ht="15" customHeight="1">
      <c r="A25" s="83"/>
      <c r="B25" s="69"/>
      <c r="C25" s="69"/>
      <c r="D25" s="69"/>
      <c r="E25" s="69"/>
      <c r="F25" s="156"/>
      <c r="G25" s="156"/>
      <c r="H25" s="156"/>
      <c r="I25" s="156"/>
      <c r="J25" s="316"/>
      <c r="K25" s="316"/>
      <c r="L25" s="316"/>
      <c r="M25" s="316"/>
    </row>
    <row r="26" spans="1:13" ht="15" customHeight="1">
      <c r="A26" s="83" t="s">
        <v>64</v>
      </c>
      <c r="B26" s="69">
        <v>372.43752500000005</v>
      </c>
      <c r="C26" s="69">
        <v>356.18735228799994</v>
      </c>
      <c r="D26" s="69">
        <v>534.006833712</v>
      </c>
      <c r="E26" s="69">
        <v>478.6500403</v>
      </c>
      <c r="F26" s="156">
        <v>412.16792399999997</v>
      </c>
      <c r="G26" s="156">
        <v>425.099884549747</v>
      </c>
      <c r="H26" s="156">
        <v>454.17037790312281</v>
      </c>
      <c r="I26" s="156">
        <v>578.28762003536008</v>
      </c>
      <c r="J26" s="316">
        <v>351.40208329546499</v>
      </c>
      <c r="K26" s="316">
        <v>344.20980072700206</v>
      </c>
      <c r="L26" s="316">
        <v>416.32573676435288</v>
      </c>
      <c r="M26" s="316"/>
    </row>
    <row r="27" spans="1:13" ht="15" customHeight="1">
      <c r="A27" s="83" t="s">
        <v>0</v>
      </c>
      <c r="B27" s="69">
        <v>0</v>
      </c>
      <c r="C27" s="69">
        <v>0</v>
      </c>
      <c r="D27" s="69">
        <v>0</v>
      </c>
      <c r="E27" s="69">
        <v>0</v>
      </c>
      <c r="F27" s="156">
        <v>0</v>
      </c>
      <c r="G27" s="156">
        <v>0</v>
      </c>
      <c r="H27" s="156">
        <v>0</v>
      </c>
      <c r="I27" s="156">
        <v>0</v>
      </c>
      <c r="J27" s="316">
        <v>0</v>
      </c>
      <c r="K27" s="316">
        <v>0</v>
      </c>
      <c r="L27" s="316">
        <v>0</v>
      </c>
      <c r="M27" s="316"/>
    </row>
    <row r="28" spans="1:13" s="190" customFormat="1" ht="15" customHeight="1">
      <c r="A28" s="196" t="s">
        <v>480</v>
      </c>
      <c r="B28" s="270">
        <v>372.43752500000005</v>
      </c>
      <c r="C28" s="270">
        <v>356.18735228799994</v>
      </c>
      <c r="D28" s="270">
        <v>534.006833712</v>
      </c>
      <c r="E28" s="270">
        <v>478.6500403</v>
      </c>
      <c r="F28" s="207">
        <v>412.16792399999997</v>
      </c>
      <c r="G28" s="207">
        <v>425.099884549747</v>
      </c>
      <c r="H28" s="207">
        <v>454.17037790312281</v>
      </c>
      <c r="I28" s="207">
        <v>578.28762003536008</v>
      </c>
      <c r="J28" s="316">
        <v>351.40208329546499</v>
      </c>
      <c r="K28" s="316">
        <v>344.20980072700206</v>
      </c>
      <c r="L28" s="316">
        <v>416.32573676435288</v>
      </c>
      <c r="M28" s="316"/>
    </row>
    <row r="29" spans="1:13" ht="15" customHeight="1">
      <c r="A29" s="90"/>
      <c r="B29" s="75"/>
      <c r="C29" s="75"/>
      <c r="D29" s="75"/>
      <c r="E29" s="75"/>
      <c r="F29" s="162"/>
      <c r="G29" s="162"/>
      <c r="H29" s="162"/>
      <c r="I29" s="162"/>
      <c r="J29" s="325"/>
      <c r="K29" s="325"/>
      <c r="L29" s="325"/>
      <c r="M29" s="325"/>
    </row>
    <row r="30" spans="1:13" ht="15" customHeight="1">
      <c r="A30" s="91" t="s">
        <v>373</v>
      </c>
      <c r="B30" s="69">
        <v>10886</v>
      </c>
      <c r="C30" s="69">
        <v>10903</v>
      </c>
      <c r="D30" s="69">
        <v>11345</v>
      </c>
      <c r="E30" s="69">
        <v>11421</v>
      </c>
      <c r="F30" s="156">
        <v>11692</v>
      </c>
      <c r="G30" s="156">
        <v>11815</v>
      </c>
      <c r="H30" s="156">
        <v>11676</v>
      </c>
      <c r="I30" s="156">
        <v>12125</v>
      </c>
      <c r="J30" s="316">
        <v>12336</v>
      </c>
      <c r="K30" s="316">
        <v>12347.254000000001</v>
      </c>
      <c r="L30" s="316">
        <v>12249.494000000001</v>
      </c>
      <c r="M30" s="316"/>
    </row>
    <row r="31" spans="1:13" ht="15" customHeight="1">
      <c r="A31" s="83" t="s">
        <v>376</v>
      </c>
      <c r="B31" s="69">
        <v>9199</v>
      </c>
      <c r="C31" s="69">
        <v>9207</v>
      </c>
      <c r="D31" s="69">
        <v>9647</v>
      </c>
      <c r="E31" s="69">
        <v>9700</v>
      </c>
      <c r="F31" s="156">
        <v>9934</v>
      </c>
      <c r="G31" s="156">
        <v>10044</v>
      </c>
      <c r="H31" s="156">
        <v>9900</v>
      </c>
      <c r="I31" s="156">
        <v>10285</v>
      </c>
      <c r="J31" s="316">
        <v>10434</v>
      </c>
      <c r="K31" s="316">
        <v>10393.243</v>
      </c>
      <c r="L31" s="316">
        <v>10255.439</v>
      </c>
      <c r="M31" s="316"/>
    </row>
    <row r="32" spans="1:13" ht="15" customHeight="1">
      <c r="A32" s="83" t="s">
        <v>374</v>
      </c>
      <c r="B32" s="69">
        <v>249</v>
      </c>
      <c r="C32" s="69">
        <v>251</v>
      </c>
      <c r="D32" s="69">
        <v>253.310216794269</v>
      </c>
      <c r="E32" s="69">
        <v>247.50576744464701</v>
      </c>
      <c r="F32" s="156">
        <v>235.06317156689099</v>
      </c>
      <c r="G32" s="156">
        <v>240.07795116417699</v>
      </c>
      <c r="H32" s="156">
        <v>225.77425467590601</v>
      </c>
      <c r="I32" s="156">
        <v>222.38081644304799</v>
      </c>
      <c r="J32" s="316">
        <v>217.91305296459899</v>
      </c>
      <c r="K32" s="316">
        <v>202.862645238667</v>
      </c>
      <c r="L32" s="316">
        <v>182.126889263919</v>
      </c>
      <c r="M32" s="316"/>
    </row>
    <row r="33" spans="1:13" ht="15" customHeight="1">
      <c r="A33" s="83" t="s">
        <v>375</v>
      </c>
      <c r="B33" s="69">
        <v>87</v>
      </c>
      <c r="C33" s="69">
        <v>88</v>
      </c>
      <c r="D33" s="69">
        <v>91.967165000000008</v>
      </c>
      <c r="E33" s="69">
        <v>96.883409999999998</v>
      </c>
      <c r="F33" s="156">
        <v>97.460999999999999</v>
      </c>
      <c r="G33" s="156">
        <v>95.015448000000021</v>
      </c>
      <c r="H33" s="156">
        <v>90.509160000000008</v>
      </c>
      <c r="I33" s="156">
        <v>87.902716999999996</v>
      </c>
      <c r="J33" s="316">
        <v>85.929779590163932</v>
      </c>
      <c r="K33" s="316">
        <v>86.483381999999992</v>
      </c>
      <c r="L33" s="316">
        <v>84.963907272315353</v>
      </c>
      <c r="M33" s="316"/>
    </row>
    <row r="34" spans="1:13" ht="15" customHeight="1">
      <c r="A34" s="83" t="s">
        <v>377</v>
      </c>
      <c r="B34" s="69">
        <v>150</v>
      </c>
      <c r="C34" s="69">
        <v>153</v>
      </c>
      <c r="D34" s="69">
        <v>159.72524000000001</v>
      </c>
      <c r="E34" s="69">
        <v>168.48933599999998</v>
      </c>
      <c r="F34" s="156">
        <v>173.33063999999999</v>
      </c>
      <c r="G34" s="156">
        <v>173.55985800000002</v>
      </c>
      <c r="H34" s="156">
        <v>163.73782</v>
      </c>
      <c r="I34" s="156">
        <v>159.90453499999998</v>
      </c>
      <c r="J34" s="316">
        <v>165.84385655737705</v>
      </c>
      <c r="K34" s="316">
        <v>170.020106</v>
      </c>
      <c r="L34" s="316">
        <v>165.19327641960473</v>
      </c>
      <c r="M34" s="316"/>
    </row>
    <row r="35" spans="1:13" ht="15" customHeight="1">
      <c r="A35" s="89" t="s">
        <v>376</v>
      </c>
      <c r="B35" s="75">
        <v>75</v>
      </c>
      <c r="C35" s="75">
        <v>76</v>
      </c>
      <c r="D35" s="75">
        <v>79.764844999999994</v>
      </c>
      <c r="E35" s="75">
        <v>84.183413999999985</v>
      </c>
      <c r="F35" s="162">
        <v>84.009239999999991</v>
      </c>
      <c r="G35" s="162">
        <v>81.063759000000005</v>
      </c>
      <c r="H35" s="162">
        <v>77.477629999999991</v>
      </c>
      <c r="I35" s="162">
        <v>74.967067</v>
      </c>
      <c r="J35" s="325">
        <v>71.673388442622951</v>
      </c>
      <c r="K35" s="325">
        <v>70.850208223110826</v>
      </c>
      <c r="L35" s="325">
        <v>69.80491542078525</v>
      </c>
      <c r="M35" s="325"/>
    </row>
  </sheetData>
  <mergeCells count="3">
    <mergeCell ref="B4:E4"/>
    <mergeCell ref="F4:I4"/>
    <mergeCell ref="J4:M4"/>
  </mergeCells>
  <phoneticPr fontId="16" type="noConversion"/>
  <pageMargins left="0.36" right="0.34" top="0.984251969" bottom="0.984251969" header="0.5" footer="0.5"/>
  <pageSetup paperSize="9" scale="7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enableFormatConditionsCalculation="0">
    <tabColor indexed="24"/>
    <pageSetUpPr fitToPage="1"/>
  </sheetPr>
  <dimension ref="A1:N35"/>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4" ht="15" customHeight="1"/>
    <row r="2" spans="1:14" ht="15" customHeight="1"/>
    <row r="3" spans="1:14" ht="15" customHeight="1" thickBot="1">
      <c r="A3" s="92" t="s">
        <v>498</v>
      </c>
      <c r="B3" s="299"/>
      <c r="C3" s="299"/>
      <c r="D3" s="299"/>
      <c r="E3" s="299"/>
      <c r="F3" s="305"/>
      <c r="G3" s="305"/>
      <c r="H3" s="305"/>
      <c r="I3" s="305"/>
      <c r="J3" s="393"/>
      <c r="K3" s="393"/>
      <c r="L3" s="393"/>
      <c r="M3" s="393"/>
    </row>
    <row r="4" spans="1:14" ht="15" customHeight="1" thickBot="1">
      <c r="A4" s="78"/>
      <c r="B4" s="576">
        <v>2014</v>
      </c>
      <c r="C4" s="577"/>
      <c r="D4" s="577"/>
      <c r="E4" s="578"/>
      <c r="F4" s="579">
        <v>2015</v>
      </c>
      <c r="G4" s="580"/>
      <c r="H4" s="580"/>
      <c r="I4" s="581"/>
      <c r="J4" s="582">
        <v>2016</v>
      </c>
      <c r="K4" s="583"/>
      <c r="L4" s="583"/>
      <c r="M4" s="583"/>
    </row>
    <row r="5" spans="1:14" ht="15" customHeight="1" thickBot="1">
      <c r="A5" s="79" t="s">
        <v>527</v>
      </c>
      <c r="B5" s="262" t="s">
        <v>510</v>
      </c>
      <c r="C5" s="262" t="s">
        <v>511</v>
      </c>
      <c r="D5" s="262" t="s">
        <v>513</v>
      </c>
      <c r="E5" s="263" t="s">
        <v>514</v>
      </c>
      <c r="F5" s="307" t="s">
        <v>510</v>
      </c>
      <c r="G5" s="307" t="s">
        <v>511</v>
      </c>
      <c r="H5" s="307" t="s">
        <v>513</v>
      </c>
      <c r="I5" s="310" t="s">
        <v>514</v>
      </c>
      <c r="J5" s="235" t="s">
        <v>510</v>
      </c>
      <c r="K5" s="235" t="s">
        <v>511</v>
      </c>
      <c r="L5" s="235" t="s">
        <v>513</v>
      </c>
      <c r="M5" s="496" t="s">
        <v>514</v>
      </c>
      <c r="N5" s="389"/>
    </row>
    <row r="6" spans="1:14" ht="15" customHeight="1">
      <c r="A6" s="82" t="s">
        <v>61</v>
      </c>
      <c r="B6" s="69">
        <v>1673.4658686357102</v>
      </c>
      <c r="C6" s="69">
        <v>1715.1273069568592</v>
      </c>
      <c r="D6" s="69">
        <v>1764.5713012835495</v>
      </c>
      <c r="E6" s="69">
        <v>1951.2418460046711</v>
      </c>
      <c r="F6" s="156">
        <v>2130.0894633443299</v>
      </c>
      <c r="G6" s="156">
        <v>2219.475057444</v>
      </c>
      <c r="H6" s="156">
        <v>2401.2162607125392</v>
      </c>
      <c r="I6" s="156">
        <v>2515.3048540949821</v>
      </c>
      <c r="J6" s="316">
        <v>2633.1285303282998</v>
      </c>
      <c r="K6" s="316">
        <v>2582.6069982781005</v>
      </c>
      <c r="L6" s="316">
        <v>2739.8253194753406</v>
      </c>
      <c r="M6" s="316"/>
    </row>
    <row r="7" spans="1:14" ht="15" customHeight="1">
      <c r="A7" s="83" t="s">
        <v>140</v>
      </c>
      <c r="B7" s="69">
        <v>200.48214735113498</v>
      </c>
      <c r="C7" s="69">
        <v>212.46613901466105</v>
      </c>
      <c r="D7" s="69">
        <v>222.14293614548393</v>
      </c>
      <c r="E7" s="69">
        <v>229.9175662338431</v>
      </c>
      <c r="F7" s="156">
        <v>264.01052416505399</v>
      </c>
      <c r="G7" s="156">
        <v>276.30561498580801</v>
      </c>
      <c r="H7" s="156">
        <v>289.18853511635405</v>
      </c>
      <c r="I7" s="156">
        <v>271.14818344194407</v>
      </c>
      <c r="J7" s="316">
        <v>266.49530006587997</v>
      </c>
      <c r="K7" s="316">
        <v>249.75854713858996</v>
      </c>
      <c r="L7" s="316">
        <v>244.97253646872798</v>
      </c>
      <c r="M7" s="316"/>
    </row>
    <row r="8" spans="1:14" ht="18" customHeight="1">
      <c r="A8" s="84" t="s">
        <v>6</v>
      </c>
      <c r="B8" s="70">
        <v>1873.9480159868451</v>
      </c>
      <c r="C8" s="70">
        <v>1927.5934459715202</v>
      </c>
      <c r="D8" s="70">
        <v>1986.7142374290333</v>
      </c>
      <c r="E8" s="70">
        <v>2181.1594122385141</v>
      </c>
      <c r="F8" s="157">
        <v>2394.0999875093839</v>
      </c>
      <c r="G8" s="157">
        <v>2495.780672429808</v>
      </c>
      <c r="H8" s="157">
        <v>2690.4047958288929</v>
      </c>
      <c r="I8" s="157">
        <v>2786.4530375369259</v>
      </c>
      <c r="J8" s="317">
        <v>2899.62383039418</v>
      </c>
      <c r="K8" s="317">
        <v>2832.3655454166901</v>
      </c>
      <c r="L8" s="317">
        <v>2984.7978559440689</v>
      </c>
      <c r="M8" s="317"/>
    </row>
    <row r="9" spans="1:14" ht="15" customHeight="1">
      <c r="A9" s="83" t="s">
        <v>550</v>
      </c>
      <c r="B9" s="69">
        <v>7.8378558042949997</v>
      </c>
      <c r="C9" s="69">
        <v>8.6559391842890001</v>
      </c>
      <c r="D9" s="69">
        <v>7.3927365961240028</v>
      </c>
      <c r="E9" s="69">
        <v>11.870046944304995</v>
      </c>
      <c r="F9" s="156">
        <v>14.617335890450001</v>
      </c>
      <c r="G9" s="156">
        <v>11.783517179694002</v>
      </c>
      <c r="H9" s="156">
        <v>9.1140833946219999</v>
      </c>
      <c r="I9" s="156">
        <v>0</v>
      </c>
      <c r="J9" s="316">
        <v>14.222236925260001</v>
      </c>
      <c r="K9" s="316">
        <v>-1.6208817914406008</v>
      </c>
      <c r="L9" s="316">
        <v>7.9966230171921993</v>
      </c>
      <c r="M9" s="316"/>
    </row>
    <row r="10" spans="1:14" ht="18" customHeight="1">
      <c r="A10" s="84" t="s">
        <v>60</v>
      </c>
      <c r="B10" s="70">
        <v>1881.7858717911402</v>
      </c>
      <c r="C10" s="70">
        <v>1936.249385155809</v>
      </c>
      <c r="D10" s="70">
        <v>1994.1069740251573</v>
      </c>
      <c r="E10" s="70">
        <v>2193.0294591828188</v>
      </c>
      <c r="F10" s="157">
        <v>2408.7173233998337</v>
      </c>
      <c r="G10" s="157">
        <v>2507.5641896095021</v>
      </c>
      <c r="H10" s="157">
        <v>2699.5188792235149</v>
      </c>
      <c r="I10" s="157">
        <v>2786.6339005547752</v>
      </c>
      <c r="J10" s="317">
        <v>2913.84606731944</v>
      </c>
      <c r="K10" s="317">
        <v>2830.7446636252494</v>
      </c>
      <c r="L10" s="317">
        <v>2992.794478961262</v>
      </c>
      <c r="M10" s="317"/>
    </row>
    <row r="11" spans="1:14" ht="15" customHeight="1">
      <c r="A11" s="83" t="s">
        <v>136</v>
      </c>
      <c r="B11" s="72">
        <v>79.123892836825007</v>
      </c>
      <c r="C11" s="72">
        <v>88.706208755602972</v>
      </c>
      <c r="D11" s="72">
        <v>80.658356118284019</v>
      </c>
      <c r="E11" s="72">
        <v>112.97805011245299</v>
      </c>
      <c r="F11" s="159">
        <v>107.557695353884</v>
      </c>
      <c r="G11" s="159">
        <v>122.50857982063498</v>
      </c>
      <c r="H11" s="159">
        <v>111.19108121451103</v>
      </c>
      <c r="I11" s="159">
        <v>137.63884113801799</v>
      </c>
      <c r="J11" s="319">
        <v>131.311465237042</v>
      </c>
      <c r="K11" s="319">
        <v>134.54272196257199</v>
      </c>
      <c r="L11" s="319">
        <v>141.68595598713699</v>
      </c>
      <c r="M11" s="319"/>
    </row>
    <row r="12" spans="1:14" ht="18" customHeight="1">
      <c r="A12" s="558" t="s">
        <v>385</v>
      </c>
      <c r="B12" s="70">
        <v>1960.9097646279652</v>
      </c>
      <c r="C12" s="70">
        <v>2024.9555939114121</v>
      </c>
      <c r="D12" s="70">
        <v>2074.7653301434416</v>
      </c>
      <c r="E12" s="70">
        <v>2306.007509295272</v>
      </c>
      <c r="F12" s="157">
        <v>2516.2750187537176</v>
      </c>
      <c r="G12" s="157">
        <v>2630.0727694301377</v>
      </c>
      <c r="H12" s="157">
        <v>2810.7099604380255</v>
      </c>
      <c r="I12" s="157">
        <v>2924.2727416927937</v>
      </c>
      <c r="J12" s="317">
        <v>3045.1575325564818</v>
      </c>
      <c r="K12" s="317">
        <v>2965.2873855878215</v>
      </c>
      <c r="L12" s="317">
        <v>3134.4804349483984</v>
      </c>
      <c r="M12" s="317"/>
    </row>
    <row r="13" spans="1:14" ht="18" customHeight="1">
      <c r="A13" s="557" t="s">
        <v>386</v>
      </c>
      <c r="B13" s="69">
        <v>0.88305916283499997</v>
      </c>
      <c r="C13" s="69">
        <v>0</v>
      </c>
      <c r="D13" s="69">
        <v>0</v>
      </c>
      <c r="E13" s="69">
        <v>0</v>
      </c>
      <c r="F13" s="156">
        <v>0</v>
      </c>
      <c r="G13" s="156">
        <v>0</v>
      </c>
      <c r="H13" s="156">
        <v>0</v>
      </c>
      <c r="I13" s="156">
        <v>0</v>
      </c>
      <c r="J13" s="316">
        <v>0</v>
      </c>
      <c r="K13" s="316">
        <v>0</v>
      </c>
      <c r="L13" s="316">
        <v>0</v>
      </c>
      <c r="M13" s="316"/>
    </row>
    <row r="14" spans="1:14" ht="15" customHeight="1">
      <c r="A14" s="86"/>
      <c r="B14" s="69"/>
      <c r="C14" s="69"/>
      <c r="D14" s="69"/>
      <c r="E14" s="69"/>
      <c r="F14" s="156"/>
      <c r="G14" s="156"/>
      <c r="H14" s="156"/>
      <c r="I14" s="156"/>
      <c r="J14" s="316"/>
      <c r="K14" s="316"/>
      <c r="L14" s="316"/>
      <c r="M14" s="316"/>
    </row>
    <row r="15" spans="1:14" ht="18" customHeight="1">
      <c r="A15" s="87" t="s">
        <v>548</v>
      </c>
      <c r="B15" s="71">
        <v>1052.07989363403</v>
      </c>
      <c r="C15" s="71">
        <v>1094.1597143367896</v>
      </c>
      <c r="D15" s="71">
        <v>1126.9830358246204</v>
      </c>
      <c r="E15" s="71">
        <v>1160.7137913886804</v>
      </c>
      <c r="F15" s="158">
        <v>1362.7463313999499</v>
      </c>
      <c r="G15" s="158">
        <v>1417.3487939703798</v>
      </c>
      <c r="H15" s="158">
        <v>1431.52169183154</v>
      </c>
      <c r="I15" s="158">
        <v>1594.6125722158695</v>
      </c>
      <c r="J15" s="318">
        <v>1683.75361996281</v>
      </c>
      <c r="K15" s="318">
        <v>1608.7694170989696</v>
      </c>
      <c r="L15" s="318">
        <v>1784.2155011362406</v>
      </c>
      <c r="M15" s="318"/>
    </row>
    <row r="16" spans="1:14" ht="15" customHeight="1">
      <c r="A16" s="83" t="s">
        <v>477</v>
      </c>
      <c r="B16" s="69">
        <v>1.3357886701299999</v>
      </c>
      <c r="C16" s="69">
        <v>3.9447861654820007</v>
      </c>
      <c r="D16" s="69">
        <v>1.8727469697879995</v>
      </c>
      <c r="E16" s="69">
        <v>-5.9521072444950001</v>
      </c>
      <c r="F16" s="156">
        <v>0</v>
      </c>
      <c r="G16" s="156">
        <v>-1.1188276662529999</v>
      </c>
      <c r="H16" s="156">
        <v>0.78997184323099989</v>
      </c>
      <c r="I16" s="156">
        <v>-7.272177985927998</v>
      </c>
      <c r="J16" s="316">
        <v>-0.95558117871199999</v>
      </c>
      <c r="K16" s="316">
        <v>-101.63813507703456</v>
      </c>
      <c r="L16" s="316">
        <v>2.3130763428684702</v>
      </c>
      <c r="M16" s="316"/>
    </row>
    <row r="17" spans="1:13" ht="18" customHeight="1">
      <c r="A17" s="88" t="s">
        <v>535</v>
      </c>
      <c r="B17" s="71">
        <v>1053.4156823041599</v>
      </c>
      <c r="C17" s="71">
        <v>1098.1045005022715</v>
      </c>
      <c r="D17" s="71">
        <v>1128.8557827944087</v>
      </c>
      <c r="E17" s="71">
        <v>1154.7616841441854</v>
      </c>
      <c r="F17" s="158">
        <v>1362.7526491237479</v>
      </c>
      <c r="G17" s="158">
        <v>1416.2299663041269</v>
      </c>
      <c r="H17" s="158">
        <v>1432.3116636747704</v>
      </c>
      <c r="I17" s="158">
        <v>1587.3403942299419</v>
      </c>
      <c r="J17" s="318">
        <v>1682.798038784098</v>
      </c>
      <c r="K17" s="318">
        <v>1507.131282021935</v>
      </c>
      <c r="L17" s="318">
        <v>1786.5285774791087</v>
      </c>
      <c r="M17" s="318"/>
    </row>
    <row r="18" spans="1:13" ht="15" customHeight="1">
      <c r="A18" s="83" t="s">
        <v>594</v>
      </c>
      <c r="B18" s="69">
        <v>-328.53949489125506</v>
      </c>
      <c r="C18" s="69">
        <v>-316.925622171307</v>
      </c>
      <c r="D18" s="69">
        <v>-350.82054994015789</v>
      </c>
      <c r="E18" s="69">
        <v>-439.20142770717007</v>
      </c>
      <c r="F18" s="156">
        <v>-407.29536567960497</v>
      </c>
      <c r="G18" s="156">
        <v>-471.60153121601502</v>
      </c>
      <c r="H18" s="156">
        <v>-538.42019004589008</v>
      </c>
      <c r="I18" s="156">
        <v>-551.87847303474996</v>
      </c>
      <c r="J18" s="316">
        <v>-558.89108775568604</v>
      </c>
      <c r="K18" s="316">
        <v>-559.00516029400399</v>
      </c>
      <c r="L18" s="316">
        <v>-550.82446064504984</v>
      </c>
      <c r="M18" s="316"/>
    </row>
    <row r="19" spans="1:13" ht="15" customHeight="1">
      <c r="A19" s="89" t="s">
        <v>43</v>
      </c>
      <c r="B19" s="75">
        <v>0</v>
      </c>
      <c r="C19" s="75">
        <v>0</v>
      </c>
      <c r="D19" s="75">
        <v>0</v>
      </c>
      <c r="E19" s="75">
        <v>0</v>
      </c>
      <c r="F19" s="162">
        <v>0</v>
      </c>
      <c r="G19" s="162">
        <v>0</v>
      </c>
      <c r="H19" s="162">
        <v>0</v>
      </c>
      <c r="I19" s="162">
        <v>0</v>
      </c>
      <c r="J19" s="325">
        <v>0</v>
      </c>
      <c r="K19" s="325">
        <v>0</v>
      </c>
      <c r="L19" s="325">
        <v>0</v>
      </c>
      <c r="M19" s="325"/>
    </row>
    <row r="20" spans="1:13" ht="18" customHeight="1">
      <c r="A20" s="84" t="s">
        <v>534</v>
      </c>
      <c r="B20" s="73">
        <v>724.87618741290476</v>
      </c>
      <c r="C20" s="73">
        <v>781.17887833096461</v>
      </c>
      <c r="D20" s="73">
        <v>778.03523285425081</v>
      </c>
      <c r="E20" s="73">
        <v>715.5602564370156</v>
      </c>
      <c r="F20" s="160">
        <v>955.45728344414294</v>
      </c>
      <c r="G20" s="160">
        <v>944.62843508811181</v>
      </c>
      <c r="H20" s="160">
        <v>893.8914736288807</v>
      </c>
      <c r="I20" s="160">
        <v>1035.4619211951917</v>
      </c>
      <c r="J20" s="320">
        <v>1123.9069510284121</v>
      </c>
      <c r="K20" s="320">
        <v>948.12612172793115</v>
      </c>
      <c r="L20" s="320">
        <v>1235.7041168340584</v>
      </c>
      <c r="M20" s="320"/>
    </row>
    <row r="21" spans="1:13" ht="15" customHeight="1">
      <c r="A21" s="83"/>
      <c r="B21" s="69"/>
      <c r="C21" s="69"/>
      <c r="D21" s="69"/>
      <c r="E21" s="69"/>
      <c r="F21" s="156"/>
      <c r="G21" s="156"/>
      <c r="H21" s="156"/>
      <c r="I21" s="156"/>
      <c r="J21" s="316"/>
      <c r="K21" s="316"/>
      <c r="L21" s="316"/>
      <c r="M21" s="316"/>
    </row>
    <row r="22" spans="1:13" ht="15" customHeight="1">
      <c r="A22" s="83" t="s">
        <v>479</v>
      </c>
      <c r="B22" s="74">
        <v>53.65264188143999</v>
      </c>
      <c r="C22" s="74">
        <v>54.033763388524804</v>
      </c>
      <c r="D22" s="74">
        <v>54.318578561687502</v>
      </c>
      <c r="E22" s="74">
        <v>50.334345690981749</v>
      </c>
      <c r="F22" s="161">
        <v>54.157288899005273</v>
      </c>
      <c r="G22" s="161">
        <v>53.890098040043178</v>
      </c>
      <c r="H22" s="161">
        <v>50.93096448871762</v>
      </c>
      <c r="I22" s="161">
        <v>54.530227276023005</v>
      </c>
      <c r="J22" s="323">
        <v>55.292824819780641</v>
      </c>
      <c r="K22" s="323">
        <v>54.25340642927452</v>
      </c>
      <c r="L22" s="323">
        <v>56.922208900806659</v>
      </c>
      <c r="M22" s="323"/>
    </row>
    <row r="23" spans="1:13" ht="15" customHeight="1">
      <c r="A23" s="83" t="s">
        <v>62</v>
      </c>
      <c r="B23" s="74">
        <v>53.720762745246454</v>
      </c>
      <c r="C23" s="74">
        <v>54.228571915553403</v>
      </c>
      <c r="D23" s="74">
        <v>54.408841635905091</v>
      </c>
      <c r="E23" s="74">
        <v>50.076232600694638</v>
      </c>
      <c r="F23" s="161">
        <v>54.157539973460601</v>
      </c>
      <c r="G23" s="161">
        <v>53.847558241173076</v>
      </c>
      <c r="H23" s="161">
        <v>50.959070264637219</v>
      </c>
      <c r="I23" s="161">
        <v>54.28154397496683</v>
      </c>
      <c r="J23" s="323">
        <v>55.261444466925468</v>
      </c>
      <c r="K23" s="323">
        <v>50.825808295919018</v>
      </c>
      <c r="L23" s="323">
        <v>56.996003470301439</v>
      </c>
      <c r="M23" s="323"/>
    </row>
    <row r="24" spans="1:13" ht="15" customHeight="1">
      <c r="A24" s="83" t="s">
        <v>63</v>
      </c>
      <c r="B24" s="74">
        <v>36.966320454344434</v>
      </c>
      <c r="C24" s="74">
        <v>38.577580697561693</v>
      </c>
      <c r="D24" s="74">
        <v>37.499914884372018</v>
      </c>
      <c r="E24" s="74">
        <v>31.030265667074719</v>
      </c>
      <c r="F24" s="161">
        <v>37.971099197152547</v>
      </c>
      <c r="G24" s="161">
        <v>35.916437220586332</v>
      </c>
      <c r="H24" s="161">
        <v>31.803049272632002</v>
      </c>
      <c r="I24" s="161">
        <v>35.409211542825751</v>
      </c>
      <c r="J24" s="323">
        <v>36.908006860481393</v>
      </c>
      <c r="K24" s="323">
        <v>31.974173104978153</v>
      </c>
      <c r="L24" s="323">
        <v>39.422932842597284</v>
      </c>
      <c r="M24" s="323"/>
    </row>
    <row r="25" spans="1:13" ht="15" customHeight="1">
      <c r="A25" s="83"/>
      <c r="B25" s="69"/>
      <c r="C25" s="69"/>
      <c r="D25" s="69"/>
      <c r="E25" s="69"/>
      <c r="F25" s="156"/>
      <c r="G25" s="156"/>
      <c r="H25" s="156"/>
      <c r="I25" s="156"/>
      <c r="J25" s="316"/>
      <c r="K25" s="316"/>
      <c r="L25" s="316"/>
      <c r="M25" s="316"/>
    </row>
    <row r="26" spans="1:13" ht="15" customHeight="1">
      <c r="A26" s="83" t="s">
        <v>64</v>
      </c>
      <c r="B26" s="69">
        <v>217.051872</v>
      </c>
      <c r="C26" s="69">
        <v>285.1553748</v>
      </c>
      <c r="D26" s="69">
        <v>229.61197799999991</v>
      </c>
      <c r="E26" s="69">
        <v>500.42552579999995</v>
      </c>
      <c r="F26" s="156">
        <v>370.12578149999996</v>
      </c>
      <c r="G26" s="156">
        <v>637.55657500000007</v>
      </c>
      <c r="H26" s="156">
        <v>487.99775369999998</v>
      </c>
      <c r="I26" s="156">
        <v>500.6878494</v>
      </c>
      <c r="J26" s="316">
        <v>1004.3698528</v>
      </c>
      <c r="K26" s="316">
        <v>461.56398097600004</v>
      </c>
      <c r="L26" s="316">
        <v>225.96145850895982</v>
      </c>
      <c r="M26" s="316"/>
    </row>
    <row r="27" spans="1:13" ht="15" customHeight="1">
      <c r="A27" s="83" t="s">
        <v>0</v>
      </c>
      <c r="B27" s="69">
        <v>0</v>
      </c>
      <c r="C27" s="69">
        <v>0</v>
      </c>
      <c r="D27" s="69">
        <v>0</v>
      </c>
      <c r="E27" s="69">
        <v>0</v>
      </c>
      <c r="F27" s="156">
        <v>0</v>
      </c>
      <c r="G27" s="156">
        <v>0</v>
      </c>
      <c r="H27" s="156">
        <v>0</v>
      </c>
      <c r="I27" s="156">
        <v>0</v>
      </c>
      <c r="J27" s="316">
        <v>0</v>
      </c>
      <c r="K27" s="316">
        <v>0</v>
      </c>
      <c r="L27" s="316">
        <v>0</v>
      </c>
      <c r="M27" s="316"/>
    </row>
    <row r="28" spans="1:13" s="190" customFormat="1" ht="15" customHeight="1">
      <c r="A28" s="196" t="s">
        <v>480</v>
      </c>
      <c r="B28" s="270">
        <v>217.051872</v>
      </c>
      <c r="C28" s="270">
        <v>285.1553748</v>
      </c>
      <c r="D28" s="270">
        <v>229.61197799999991</v>
      </c>
      <c r="E28" s="270">
        <v>500.42552579999995</v>
      </c>
      <c r="F28" s="207">
        <v>370.12578149999996</v>
      </c>
      <c r="G28" s="207">
        <v>637.55657500000007</v>
      </c>
      <c r="H28" s="207">
        <v>487.99775369999998</v>
      </c>
      <c r="I28" s="207">
        <v>500.6878494</v>
      </c>
      <c r="J28" s="316">
        <v>1004.3698528</v>
      </c>
      <c r="K28" s="316">
        <v>461.56398097600004</v>
      </c>
      <c r="L28" s="316">
        <v>225.96145850895982</v>
      </c>
      <c r="M28" s="316"/>
    </row>
    <row r="29" spans="1:13" ht="15" customHeight="1">
      <c r="A29" s="90"/>
      <c r="B29" s="75"/>
      <c r="C29" s="75"/>
      <c r="D29" s="75"/>
      <c r="E29" s="75"/>
      <c r="F29" s="162"/>
      <c r="G29" s="162"/>
      <c r="H29" s="162"/>
      <c r="I29" s="162"/>
      <c r="J29" s="325"/>
      <c r="K29" s="325"/>
      <c r="L29" s="325"/>
      <c r="M29" s="325"/>
    </row>
    <row r="30" spans="1:13" ht="15" customHeight="1">
      <c r="A30" s="91" t="s">
        <v>373</v>
      </c>
      <c r="B30" s="69">
        <v>48683</v>
      </c>
      <c r="C30" s="69">
        <v>49233</v>
      </c>
      <c r="D30" s="69">
        <v>50290.75</v>
      </c>
      <c r="E30" s="69">
        <v>51503.607000000004</v>
      </c>
      <c r="F30" s="156">
        <v>52005.856</v>
      </c>
      <c r="G30" s="156">
        <v>53128.696000000004</v>
      </c>
      <c r="H30" s="156">
        <v>55510.777000000002</v>
      </c>
      <c r="I30" s="156">
        <v>56679.411999999997</v>
      </c>
      <c r="J30" s="316">
        <v>56284.694000000003</v>
      </c>
      <c r="K30" s="316">
        <v>56908.716999999997</v>
      </c>
      <c r="L30" s="316">
        <v>55015.08</v>
      </c>
      <c r="M30" s="316"/>
    </row>
    <row r="31" spans="1:13" ht="15" customHeight="1">
      <c r="A31" s="83" t="s">
        <v>376</v>
      </c>
      <c r="B31" s="69">
        <v>48076</v>
      </c>
      <c r="C31" s="69">
        <v>48596</v>
      </c>
      <c r="D31" s="69">
        <v>49639.095999999998</v>
      </c>
      <c r="E31" s="69">
        <v>50836.232000000004</v>
      </c>
      <c r="F31" s="156">
        <v>51332.538</v>
      </c>
      <c r="G31" s="156">
        <v>52428.542999999998</v>
      </c>
      <c r="H31" s="156">
        <v>54797.675999999999</v>
      </c>
      <c r="I31" s="156">
        <v>55962.654000000002</v>
      </c>
      <c r="J31" s="316">
        <v>55537.63</v>
      </c>
      <c r="K31" s="316">
        <v>56140.152000000002</v>
      </c>
      <c r="L31" s="316">
        <v>54227.235999999997</v>
      </c>
      <c r="M31" s="316"/>
    </row>
    <row r="32" spans="1:13" ht="15" customHeight="1">
      <c r="A32" s="83" t="s">
        <v>374</v>
      </c>
      <c r="B32" s="69">
        <v>243</v>
      </c>
      <c r="C32" s="69">
        <v>253</v>
      </c>
      <c r="D32" s="69">
        <v>246.886861415281</v>
      </c>
      <c r="E32" s="69">
        <v>241.961912632923</v>
      </c>
      <c r="F32" s="156">
        <v>243.17052397232101</v>
      </c>
      <c r="G32" s="156">
        <v>253.94571910455099</v>
      </c>
      <c r="H32" s="156">
        <v>252.36265619162199</v>
      </c>
      <c r="I32" s="156">
        <v>247.33850616223</v>
      </c>
      <c r="J32" s="316">
        <v>256.61139234169201</v>
      </c>
      <c r="K32" s="316">
        <v>263.01653347276402</v>
      </c>
      <c r="L32" s="316">
        <v>270.99443789416398</v>
      </c>
      <c r="M32" s="316"/>
    </row>
    <row r="33" spans="1:13" ht="15" customHeight="1">
      <c r="A33" s="83" t="s">
        <v>375</v>
      </c>
      <c r="B33" s="69">
        <v>13</v>
      </c>
      <c r="C33" s="69">
        <v>13</v>
      </c>
      <c r="D33" s="69">
        <v>13.299000000000001</v>
      </c>
      <c r="E33" s="69">
        <v>14.2646</v>
      </c>
      <c r="F33" s="156">
        <v>15.4535</v>
      </c>
      <c r="G33" s="156">
        <v>15.8523</v>
      </c>
      <c r="H33" s="156">
        <v>16.447554199999999</v>
      </c>
      <c r="I33" s="156">
        <v>16.519138999999999</v>
      </c>
      <c r="J33" s="316">
        <v>17.177622969068924</v>
      </c>
      <c r="K33" s="316">
        <v>16.571409599999999</v>
      </c>
      <c r="L33" s="316">
        <v>17.906382000000001</v>
      </c>
      <c r="M33" s="316"/>
    </row>
    <row r="34" spans="1:13" ht="15" customHeight="1">
      <c r="A34" s="83" t="s">
        <v>377</v>
      </c>
      <c r="B34" s="69">
        <v>47</v>
      </c>
      <c r="C34" s="69">
        <v>46</v>
      </c>
      <c r="D34" s="69">
        <v>46.909200000000006</v>
      </c>
      <c r="E34" s="69">
        <v>50.856400000000001</v>
      </c>
      <c r="F34" s="156">
        <v>52.741299999999995</v>
      </c>
      <c r="G34" s="156">
        <v>54.735299999999995</v>
      </c>
      <c r="H34" s="156">
        <v>56.280282100000001</v>
      </c>
      <c r="I34" s="156">
        <v>58.58386500000001</v>
      </c>
      <c r="J34" s="316">
        <v>56.277521225603792</v>
      </c>
      <c r="K34" s="316">
        <v>53.142679999999999</v>
      </c>
      <c r="L34" s="316">
        <v>51.625519199999999</v>
      </c>
      <c r="M34" s="316"/>
    </row>
    <row r="35" spans="1:13" ht="15" customHeight="1">
      <c r="A35" s="89" t="s">
        <v>376</v>
      </c>
      <c r="B35" s="75">
        <v>13</v>
      </c>
      <c r="C35" s="75">
        <v>13</v>
      </c>
      <c r="D35" s="75">
        <v>12.896000000000001</v>
      </c>
      <c r="E35" s="75">
        <v>13.733000000000001</v>
      </c>
      <c r="F35" s="162">
        <v>14.955</v>
      </c>
      <c r="G35" s="162">
        <v>15.254099999999999</v>
      </c>
      <c r="H35" s="162">
        <v>15.887449899999998</v>
      </c>
      <c r="I35" s="162">
        <v>15.956073</v>
      </c>
      <c r="J35" s="325">
        <v>16.630959141754509</v>
      </c>
      <c r="K35" s="325">
        <v>16.049679599999997</v>
      </c>
      <c r="L35" s="325">
        <v>17.398215</v>
      </c>
      <c r="M35" s="325"/>
    </row>
  </sheetData>
  <mergeCells count="3">
    <mergeCell ref="B4:E4"/>
    <mergeCell ref="F4:I4"/>
    <mergeCell ref="J4:M4"/>
  </mergeCells>
  <phoneticPr fontId="16" type="noConversion"/>
  <pageMargins left="0.41" right="0.33" top="0.984251969" bottom="0.984251969" header="0.5" footer="0.5"/>
  <pageSetup paperSize="9" scale="7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enableFormatConditionsCalculation="0">
    <tabColor indexed="24"/>
    <pageSetUpPr fitToPage="1"/>
  </sheetPr>
  <dimension ref="A1:N36"/>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4" ht="15" customHeight="1"/>
    <row r="2" spans="1:14" ht="15" customHeight="1"/>
    <row r="3" spans="1:14" ht="15" customHeight="1" thickBot="1">
      <c r="A3" s="92" t="s">
        <v>647</v>
      </c>
      <c r="B3" s="299"/>
      <c r="C3" s="299"/>
      <c r="D3" s="299"/>
      <c r="E3" s="299"/>
      <c r="F3" s="305"/>
      <c r="G3" s="305"/>
      <c r="H3" s="305"/>
      <c r="I3" s="305"/>
      <c r="J3" s="393"/>
      <c r="K3" s="393"/>
      <c r="L3" s="393"/>
      <c r="M3" s="393"/>
    </row>
    <row r="4" spans="1:14" ht="15" customHeight="1" thickBot="1">
      <c r="A4" s="78"/>
      <c r="B4" s="576">
        <v>2014</v>
      </c>
      <c r="C4" s="577"/>
      <c r="D4" s="577"/>
      <c r="E4" s="578"/>
      <c r="F4" s="579">
        <v>2015</v>
      </c>
      <c r="G4" s="580"/>
      <c r="H4" s="580"/>
      <c r="I4" s="581"/>
      <c r="J4" s="582">
        <v>2016</v>
      </c>
      <c r="K4" s="583"/>
      <c r="L4" s="583"/>
      <c r="M4" s="583"/>
    </row>
    <row r="5" spans="1:14" ht="15" customHeight="1" thickBot="1">
      <c r="A5" s="79" t="s">
        <v>527</v>
      </c>
      <c r="B5" s="262" t="s">
        <v>510</v>
      </c>
      <c r="C5" s="262" t="s">
        <v>511</v>
      </c>
      <c r="D5" s="262" t="s">
        <v>513</v>
      </c>
      <c r="E5" s="263" t="s">
        <v>514</v>
      </c>
      <c r="F5" s="307" t="s">
        <v>510</v>
      </c>
      <c r="G5" s="307" t="s">
        <v>511</v>
      </c>
      <c r="H5" s="307" t="s">
        <v>513</v>
      </c>
      <c r="I5" s="310" t="s">
        <v>514</v>
      </c>
      <c r="J5" s="235" t="s">
        <v>510</v>
      </c>
      <c r="K5" s="235" t="s">
        <v>511</v>
      </c>
      <c r="L5" s="235" t="s">
        <v>513</v>
      </c>
      <c r="M5" s="496" t="s">
        <v>514</v>
      </c>
      <c r="N5" s="389"/>
    </row>
    <row r="6" spans="1:14" ht="15" customHeight="1">
      <c r="A6" s="82" t="s">
        <v>61</v>
      </c>
      <c r="B6" s="69">
        <v>1061.3696782546001</v>
      </c>
      <c r="C6" s="69">
        <v>1148.8788094170998</v>
      </c>
      <c r="D6" s="69">
        <v>1099.4468602135998</v>
      </c>
      <c r="E6" s="69">
        <v>1225.0892952203008</v>
      </c>
      <c r="F6" s="156">
        <v>1396.7420986484999</v>
      </c>
      <c r="G6" s="156">
        <v>1383.3922574003</v>
      </c>
      <c r="H6" s="156">
        <v>1430.9118260760001</v>
      </c>
      <c r="I6" s="156">
        <v>1488.2188749582001</v>
      </c>
      <c r="J6" s="316">
        <v>1535.5392828482002</v>
      </c>
      <c r="K6" s="316">
        <v>1593.7591871931097</v>
      </c>
      <c r="L6" s="316">
        <v>1574.0885493168898</v>
      </c>
      <c r="M6" s="316"/>
    </row>
    <row r="7" spans="1:14" ht="15" customHeight="1">
      <c r="A7" s="83" t="s">
        <v>140</v>
      </c>
      <c r="B7" s="69">
        <v>104.325434042</v>
      </c>
      <c r="C7" s="69">
        <v>137.55177820809996</v>
      </c>
      <c r="D7" s="69">
        <v>118.70205709059999</v>
      </c>
      <c r="E7" s="69">
        <v>134.34744162890007</v>
      </c>
      <c r="F7" s="156">
        <v>161.766085428</v>
      </c>
      <c r="G7" s="156">
        <v>206.70159131200001</v>
      </c>
      <c r="H7" s="156">
        <v>241.49996186639999</v>
      </c>
      <c r="I7" s="156">
        <v>263.69325946560002</v>
      </c>
      <c r="J7" s="316">
        <v>284.60580462300004</v>
      </c>
      <c r="K7" s="316">
        <v>285.90623717102801</v>
      </c>
      <c r="L7" s="316">
        <v>294.51333367686584</v>
      </c>
      <c r="M7" s="316"/>
    </row>
    <row r="8" spans="1:14" ht="18" customHeight="1">
      <c r="A8" s="84" t="s">
        <v>6</v>
      </c>
      <c r="B8" s="70">
        <v>1165.6951122966002</v>
      </c>
      <c r="C8" s="70">
        <v>1286.4305876251997</v>
      </c>
      <c r="D8" s="70">
        <v>1218.1489173041996</v>
      </c>
      <c r="E8" s="70">
        <v>1359.4367368492012</v>
      </c>
      <c r="F8" s="157">
        <v>1558.5081840764999</v>
      </c>
      <c r="G8" s="157">
        <v>1590.0938487123001</v>
      </c>
      <c r="H8" s="157">
        <v>1672.4117879424002</v>
      </c>
      <c r="I8" s="157">
        <v>1751.9121344238001</v>
      </c>
      <c r="J8" s="317">
        <v>1820.1450874712002</v>
      </c>
      <c r="K8" s="317">
        <v>1879.6654243641376</v>
      </c>
      <c r="L8" s="317">
        <v>1868.6018829937557</v>
      </c>
      <c r="M8" s="317"/>
    </row>
    <row r="9" spans="1:14" ht="15" customHeight="1">
      <c r="A9" s="83" t="s">
        <v>550</v>
      </c>
      <c r="B9" s="69">
        <v>7.4068310261000008</v>
      </c>
      <c r="C9" s="69">
        <v>6.9155233125999995</v>
      </c>
      <c r="D9" s="69">
        <v>6.5697662720000007</v>
      </c>
      <c r="E9" s="69">
        <v>8.0189121684999982</v>
      </c>
      <c r="F9" s="156">
        <v>11.287370133</v>
      </c>
      <c r="G9" s="156">
        <v>10.794219323000004</v>
      </c>
      <c r="H9" s="156">
        <v>10.969134795999999</v>
      </c>
      <c r="I9" s="156">
        <v>14.614224390999993</v>
      </c>
      <c r="J9" s="316">
        <v>8.6798235859999995</v>
      </c>
      <c r="K9" s="316">
        <v>-46.620181200013</v>
      </c>
      <c r="L9" s="316">
        <v>6.4529705772150017</v>
      </c>
      <c r="M9" s="316"/>
    </row>
    <row r="10" spans="1:14" ht="18" customHeight="1">
      <c r="A10" s="84" t="s">
        <v>60</v>
      </c>
      <c r="B10" s="70">
        <v>1173.1019433227002</v>
      </c>
      <c r="C10" s="70">
        <v>1293.3461109377995</v>
      </c>
      <c r="D10" s="70">
        <v>1224.7186835762</v>
      </c>
      <c r="E10" s="70">
        <v>1367.4556490177006</v>
      </c>
      <c r="F10" s="157">
        <v>1569.7955542094999</v>
      </c>
      <c r="G10" s="157">
        <v>1600.8880680353002</v>
      </c>
      <c r="H10" s="157">
        <v>1683.3809227383999</v>
      </c>
      <c r="I10" s="157">
        <v>1766.5263588148</v>
      </c>
      <c r="J10" s="317">
        <v>1828.8249110572003</v>
      </c>
      <c r="K10" s="317">
        <v>1833.0452431641245</v>
      </c>
      <c r="L10" s="317">
        <v>1875.0548535709704</v>
      </c>
      <c r="M10" s="317"/>
    </row>
    <row r="11" spans="1:14" ht="15" customHeight="1">
      <c r="A11" s="83" t="s">
        <v>136</v>
      </c>
      <c r="B11" s="72">
        <v>165.14676131589601</v>
      </c>
      <c r="C11" s="72">
        <v>173.49809812145895</v>
      </c>
      <c r="D11" s="72">
        <v>187.24160867704506</v>
      </c>
      <c r="E11" s="72">
        <v>213.64212957461996</v>
      </c>
      <c r="F11" s="159">
        <v>258.83518207935998</v>
      </c>
      <c r="G11" s="159">
        <v>299.59272944203911</v>
      </c>
      <c r="H11" s="159">
        <v>304.43095421979297</v>
      </c>
      <c r="I11" s="159">
        <v>282.72583470940788</v>
      </c>
      <c r="J11" s="319">
        <v>315.24538758242602</v>
      </c>
      <c r="K11" s="319">
        <v>307.552883226728</v>
      </c>
      <c r="L11" s="319">
        <v>300.08373787055302</v>
      </c>
      <c r="M11" s="319"/>
    </row>
    <row r="12" spans="1:14" ht="18" customHeight="1">
      <c r="A12" s="558" t="s">
        <v>385</v>
      </c>
      <c r="B12" s="70">
        <v>1338.2487046385963</v>
      </c>
      <c r="C12" s="70">
        <v>1466.8442090592584</v>
      </c>
      <c r="D12" s="70">
        <v>1411.9602922532449</v>
      </c>
      <c r="E12" s="70">
        <v>1581.0977785923205</v>
      </c>
      <c r="F12" s="157">
        <v>1828.6307362888599</v>
      </c>
      <c r="G12" s="157">
        <v>1900.4807974773391</v>
      </c>
      <c r="H12" s="157">
        <v>1987.8118769581929</v>
      </c>
      <c r="I12" s="157">
        <v>2049.2521935242075</v>
      </c>
      <c r="J12" s="317">
        <v>2144.0702986396263</v>
      </c>
      <c r="K12" s="317">
        <v>2140.5981263908525</v>
      </c>
      <c r="L12" s="317">
        <v>2175.1385914415232</v>
      </c>
      <c r="M12" s="317"/>
    </row>
    <row r="13" spans="1:14" ht="18" customHeight="1">
      <c r="A13" s="557" t="s">
        <v>386</v>
      </c>
      <c r="B13" s="69">
        <v>4.1463501981999995</v>
      </c>
      <c r="C13" s="69">
        <v>26.976549844899999</v>
      </c>
      <c r="D13" s="69">
        <v>23.4895782342</v>
      </c>
      <c r="E13" s="69">
        <v>25.994286153100106</v>
      </c>
      <c r="F13" s="156">
        <v>36.357831558000001</v>
      </c>
      <c r="G13" s="156">
        <v>29.205899417200101</v>
      </c>
      <c r="H13" s="156">
        <v>27.950421618399787</v>
      </c>
      <c r="I13" s="156">
        <v>19.606727055400114</v>
      </c>
      <c r="J13" s="316">
        <v>20.158483578800002</v>
      </c>
      <c r="K13" s="316">
        <v>20.426452019189995</v>
      </c>
      <c r="L13" s="316">
        <v>18.206288744322002</v>
      </c>
      <c r="M13" s="316"/>
    </row>
    <row r="14" spans="1:14" ht="15" customHeight="1">
      <c r="A14" s="86"/>
      <c r="B14" s="69"/>
      <c r="C14" s="69"/>
      <c r="D14" s="69"/>
      <c r="E14" s="69"/>
      <c r="F14" s="156"/>
      <c r="G14" s="156"/>
      <c r="H14" s="156"/>
      <c r="I14" s="156"/>
      <c r="J14" s="316"/>
      <c r="K14" s="316"/>
      <c r="L14" s="316"/>
      <c r="M14" s="316"/>
    </row>
    <row r="15" spans="1:14" ht="18" customHeight="1">
      <c r="A15" s="87" t="s">
        <v>548</v>
      </c>
      <c r="B15" s="71">
        <v>529.67537187256801</v>
      </c>
      <c r="C15" s="71">
        <v>617.11639274617221</v>
      </c>
      <c r="D15" s="71">
        <v>472.52955478525973</v>
      </c>
      <c r="E15" s="71">
        <v>492.56075211808002</v>
      </c>
      <c r="F15" s="158">
        <v>766.7616814288599</v>
      </c>
      <c r="G15" s="158">
        <v>597.89063650096023</v>
      </c>
      <c r="H15" s="158">
        <v>908.99372769043975</v>
      </c>
      <c r="I15" s="158">
        <v>878.22140679861013</v>
      </c>
      <c r="J15" s="318">
        <v>847.01318541796195</v>
      </c>
      <c r="K15" s="318">
        <v>902.8970098177881</v>
      </c>
      <c r="L15" s="318">
        <v>954.73547853918035</v>
      </c>
      <c r="M15" s="318"/>
    </row>
    <row r="16" spans="1:14" ht="15" customHeight="1">
      <c r="A16" s="83" t="s">
        <v>477</v>
      </c>
      <c r="B16" s="69">
        <v>4.0322007539374995</v>
      </c>
      <c r="C16" s="69">
        <v>-17.0842271735556</v>
      </c>
      <c r="D16" s="69">
        <v>-1.1165534979819007</v>
      </c>
      <c r="E16" s="69">
        <v>0</v>
      </c>
      <c r="F16" s="156">
        <v>5.8629478428494997</v>
      </c>
      <c r="G16" s="156">
        <v>0</v>
      </c>
      <c r="H16" s="156">
        <v>0.55415478193959977</v>
      </c>
      <c r="I16" s="156">
        <v>-4.4687828703177992</v>
      </c>
      <c r="J16" s="316">
        <v>-3.9863164351780003</v>
      </c>
      <c r="K16" s="316">
        <v>1.29424218786564</v>
      </c>
      <c r="L16" s="316">
        <v>1.1071580586129803</v>
      </c>
      <c r="M16" s="316"/>
    </row>
    <row r="17" spans="1:13" ht="18" customHeight="1">
      <c r="A17" s="88" t="s">
        <v>535</v>
      </c>
      <c r="B17" s="71">
        <v>533.70757262650545</v>
      </c>
      <c r="C17" s="71">
        <v>600.03216557261658</v>
      </c>
      <c r="D17" s="71">
        <v>471.41300128727789</v>
      </c>
      <c r="E17" s="71">
        <v>492.42318994094717</v>
      </c>
      <c r="F17" s="158">
        <v>772.62462927170941</v>
      </c>
      <c r="G17" s="158">
        <v>597.59082785565192</v>
      </c>
      <c r="H17" s="158">
        <v>909.54788247237957</v>
      </c>
      <c r="I17" s="158">
        <v>873.752623928292</v>
      </c>
      <c r="J17" s="318">
        <v>843.02686898278398</v>
      </c>
      <c r="K17" s="318">
        <v>904.19125200565372</v>
      </c>
      <c r="L17" s="318">
        <v>955.84263659779322</v>
      </c>
      <c r="M17" s="318"/>
    </row>
    <row r="18" spans="1:13" ht="15" customHeight="1">
      <c r="A18" s="83" t="s">
        <v>143</v>
      </c>
      <c r="B18" s="69">
        <v>-164.33527791576498</v>
      </c>
      <c r="C18" s="69">
        <v>-202.58066190326306</v>
      </c>
      <c r="D18" s="69">
        <v>-201.89580723336985</v>
      </c>
      <c r="E18" s="69">
        <v>-232.25822026154515</v>
      </c>
      <c r="F18" s="156">
        <v>-254.93346152266</v>
      </c>
      <c r="G18" s="156">
        <v>-257.21611560723704</v>
      </c>
      <c r="H18" s="156">
        <v>-282.9097217475379</v>
      </c>
      <c r="I18" s="156">
        <v>-289.27955840763502</v>
      </c>
      <c r="J18" s="316">
        <v>-296.36015088864798</v>
      </c>
      <c r="K18" s="316">
        <v>-288.49264102172896</v>
      </c>
      <c r="L18" s="316">
        <v>-340.92707716161397</v>
      </c>
      <c r="M18" s="316"/>
    </row>
    <row r="19" spans="1:13" ht="15" customHeight="1">
      <c r="A19" s="89" t="s">
        <v>593</v>
      </c>
      <c r="B19" s="75">
        <v>0</v>
      </c>
      <c r="C19" s="75">
        <v>0</v>
      </c>
      <c r="D19" s="75">
        <v>0</v>
      </c>
      <c r="E19" s="75">
        <v>0</v>
      </c>
      <c r="F19" s="162">
        <v>0</v>
      </c>
      <c r="G19" s="162">
        <v>0</v>
      </c>
      <c r="H19" s="162">
        <v>0</v>
      </c>
      <c r="I19" s="162">
        <v>0</v>
      </c>
      <c r="J19" s="325">
        <v>0</v>
      </c>
      <c r="K19" s="325">
        <v>0</v>
      </c>
      <c r="L19" s="325">
        <v>0</v>
      </c>
      <c r="M19" s="325"/>
    </row>
    <row r="20" spans="1:13" ht="18" customHeight="1">
      <c r="A20" s="84" t="s">
        <v>534</v>
      </c>
      <c r="B20" s="73">
        <v>369.37229471074045</v>
      </c>
      <c r="C20" s="73">
        <v>397.45150366935354</v>
      </c>
      <c r="D20" s="73">
        <v>269.51719405390816</v>
      </c>
      <c r="E20" s="73">
        <v>260.16496967940202</v>
      </c>
      <c r="F20" s="160">
        <v>517.69116774904944</v>
      </c>
      <c r="G20" s="160">
        <v>340.37471224841488</v>
      </c>
      <c r="H20" s="160">
        <v>626.63816072484167</v>
      </c>
      <c r="I20" s="160">
        <v>584.47306552065697</v>
      </c>
      <c r="J20" s="320">
        <v>546.66671809413606</v>
      </c>
      <c r="K20" s="320">
        <v>615.69861098392471</v>
      </c>
      <c r="L20" s="320">
        <v>614.91555943617914</v>
      </c>
      <c r="M20" s="320"/>
    </row>
    <row r="21" spans="1:13" ht="15" customHeight="1">
      <c r="A21" s="83"/>
      <c r="B21" s="74"/>
      <c r="C21" s="74"/>
      <c r="D21" s="74"/>
      <c r="E21" s="74"/>
      <c r="F21" s="161"/>
      <c r="G21" s="161"/>
      <c r="H21" s="161"/>
      <c r="I21" s="161"/>
      <c r="J21" s="323"/>
      <c r="K21" s="323"/>
      <c r="L21" s="323"/>
      <c r="M21" s="323"/>
    </row>
    <row r="22" spans="1:13" ht="15" customHeight="1">
      <c r="A22" s="83" t="s">
        <v>479</v>
      </c>
      <c r="B22" s="74">
        <v>39.579741047880233</v>
      </c>
      <c r="C22" s="74">
        <v>42.071024921041328</v>
      </c>
      <c r="D22" s="74">
        <v>33.466207044051082</v>
      </c>
      <c r="E22" s="74">
        <v>31.153086089123192</v>
      </c>
      <c r="F22" s="161">
        <v>41.930919469557594</v>
      </c>
      <c r="G22" s="161">
        <v>31.459967251160258</v>
      </c>
      <c r="H22" s="161">
        <v>45.728357810267653</v>
      </c>
      <c r="I22" s="161">
        <v>42.855701683465632</v>
      </c>
      <c r="J22" s="323">
        <v>39.504916697711657</v>
      </c>
      <c r="K22" s="323">
        <v>42.179659913097012</v>
      </c>
      <c r="L22" s="323">
        <v>43.89308719434063</v>
      </c>
      <c r="M22" s="323"/>
    </row>
    <row r="23" spans="1:13" ht="15" customHeight="1">
      <c r="A23" s="83" t="s">
        <v>62</v>
      </c>
      <c r="B23" s="74">
        <v>39.88104533758073</v>
      </c>
      <c r="C23" s="74">
        <v>40.906332238066334</v>
      </c>
      <c r="D23" s="74">
        <v>33.387128793472236</v>
      </c>
      <c r="E23" s="74">
        <v>31.144385667239398</v>
      </c>
      <c r="F23" s="161">
        <v>42.251539030768079</v>
      </c>
      <c r="G23" s="161">
        <v>31.444191840763779</v>
      </c>
      <c r="H23" s="161">
        <v>45.756235437339072</v>
      </c>
      <c r="I23" s="161">
        <v>42.63763272716831</v>
      </c>
      <c r="J23" s="323">
        <v>39.318993855643129</v>
      </c>
      <c r="K23" s="323">
        <v>42.240121621061213</v>
      </c>
      <c r="L23" s="323">
        <v>43.943987769732431</v>
      </c>
      <c r="M23" s="323"/>
    </row>
    <row r="24" spans="1:13" ht="15" customHeight="1">
      <c r="A24" s="83" t="s">
        <v>63</v>
      </c>
      <c r="B24" s="69">
        <v>27.601169605502594</v>
      </c>
      <c r="C24" s="69">
        <v>27.095686182260209</v>
      </c>
      <c r="D24" s="69">
        <v>19.088156765641422</v>
      </c>
      <c r="E24" s="69">
        <v>16.454704649008583</v>
      </c>
      <c r="F24" s="156">
        <v>28.310317522043022</v>
      </c>
      <c r="G24" s="156">
        <v>17.909926409160335</v>
      </c>
      <c r="H24" s="156">
        <v>31.524017337281506</v>
      </c>
      <c r="I24" s="156">
        <v>28.521285343387028</v>
      </c>
      <c r="J24" s="316">
        <v>25.496678837488968</v>
      </c>
      <c r="K24" s="316">
        <v>28.762923941357503</v>
      </c>
      <c r="L24" s="316">
        <v>28.270178362688053</v>
      </c>
      <c r="M24" s="316"/>
    </row>
    <row r="25" spans="1:13" ht="15" customHeight="1">
      <c r="A25" s="83"/>
      <c r="B25" s="69"/>
      <c r="C25" s="69"/>
      <c r="D25" s="69"/>
      <c r="E25" s="69"/>
      <c r="F25" s="156"/>
      <c r="G25" s="156"/>
      <c r="H25" s="156"/>
      <c r="I25" s="156"/>
      <c r="J25" s="316"/>
      <c r="K25" s="316"/>
      <c r="L25" s="316"/>
      <c r="M25" s="316"/>
    </row>
    <row r="26" spans="1:13" ht="15" customHeight="1">
      <c r="A26" s="83" t="s">
        <v>64</v>
      </c>
      <c r="B26" s="69">
        <v>201.64844969999999</v>
      </c>
      <c r="C26" s="69">
        <v>1007.8007165</v>
      </c>
      <c r="D26" s="69">
        <v>450.75531980000005</v>
      </c>
      <c r="E26" s="69">
        <v>641.18195719999949</v>
      </c>
      <c r="F26" s="156">
        <v>325.73174949900005</v>
      </c>
      <c r="G26" s="156">
        <v>292.21932687459997</v>
      </c>
      <c r="H26" s="156">
        <v>266.05940712879999</v>
      </c>
      <c r="I26" s="156">
        <v>558.4630472911</v>
      </c>
      <c r="J26" s="316">
        <v>315.457247</v>
      </c>
      <c r="K26" s="316">
        <v>3687.9932676875001</v>
      </c>
      <c r="L26" s="316">
        <v>306.68646395450014</v>
      </c>
      <c r="M26" s="316"/>
    </row>
    <row r="27" spans="1:13" ht="15" customHeight="1">
      <c r="A27" s="83" t="s">
        <v>0</v>
      </c>
      <c r="B27" s="69">
        <v>0</v>
      </c>
      <c r="C27" s="69">
        <v>0</v>
      </c>
      <c r="D27" s="69">
        <v>0</v>
      </c>
      <c r="E27" s="69">
        <v>0</v>
      </c>
      <c r="F27" s="156">
        <v>0</v>
      </c>
      <c r="G27" s="156">
        <v>0</v>
      </c>
      <c r="H27" s="156">
        <v>0</v>
      </c>
      <c r="I27" s="156">
        <v>0</v>
      </c>
      <c r="J27" s="316">
        <v>0</v>
      </c>
      <c r="K27" s="316">
        <v>0</v>
      </c>
      <c r="L27" s="316">
        <v>0</v>
      </c>
      <c r="M27" s="316"/>
    </row>
    <row r="28" spans="1:13" s="190" customFormat="1" ht="15" customHeight="1">
      <c r="A28" s="196" t="s">
        <v>480</v>
      </c>
      <c r="B28" s="270">
        <v>201.64844969999999</v>
      </c>
      <c r="C28" s="270">
        <v>137.21489520000011</v>
      </c>
      <c r="D28" s="270">
        <v>439.12813019999999</v>
      </c>
      <c r="E28" s="270">
        <v>616.47417929999949</v>
      </c>
      <c r="F28" s="207">
        <v>325.73174949900005</v>
      </c>
      <c r="G28" s="207">
        <v>292.21932687459997</v>
      </c>
      <c r="H28" s="207">
        <v>266.05940712879999</v>
      </c>
      <c r="I28" s="207">
        <v>558.4630472911</v>
      </c>
      <c r="J28" s="316">
        <v>315.457247</v>
      </c>
      <c r="K28" s="316">
        <v>357.65466256250011</v>
      </c>
      <c r="L28" s="316">
        <v>324.14266932950022</v>
      </c>
      <c r="M28" s="316"/>
    </row>
    <row r="29" spans="1:13" ht="15" customHeight="1">
      <c r="A29" s="115"/>
      <c r="B29" s="75"/>
      <c r="C29" s="75"/>
      <c r="D29" s="75"/>
      <c r="E29" s="75"/>
      <c r="F29" s="162"/>
      <c r="G29" s="162"/>
      <c r="H29" s="162"/>
      <c r="I29" s="162"/>
      <c r="J29" s="325"/>
      <c r="K29" s="325"/>
      <c r="L29" s="325"/>
      <c r="M29" s="325"/>
    </row>
    <row r="30" spans="1:13" ht="15" customHeight="1">
      <c r="A30" s="91" t="s">
        <v>373</v>
      </c>
      <c r="B30" s="69">
        <v>35211</v>
      </c>
      <c r="C30" s="69">
        <v>36572</v>
      </c>
      <c r="D30" s="69">
        <v>36376.773999999998</v>
      </c>
      <c r="E30" s="69">
        <v>36502.735000000001</v>
      </c>
      <c r="F30" s="156">
        <v>36552.766000000003</v>
      </c>
      <c r="G30" s="156">
        <v>31590.761999999999</v>
      </c>
      <c r="H30" s="156">
        <v>33244.105000000003</v>
      </c>
      <c r="I30" s="156">
        <v>34563.430999999997</v>
      </c>
      <c r="J30" s="316">
        <v>36730.169000000002</v>
      </c>
      <c r="K30" s="316">
        <v>37914.050999999999</v>
      </c>
      <c r="L30" s="316">
        <v>38232.964</v>
      </c>
      <c r="M30" s="316"/>
    </row>
    <row r="31" spans="1:13" ht="15" customHeight="1">
      <c r="A31" s="83" t="s">
        <v>376</v>
      </c>
      <c r="B31" s="69">
        <v>34848</v>
      </c>
      <c r="C31" s="69">
        <v>36207</v>
      </c>
      <c r="D31" s="69">
        <v>36002</v>
      </c>
      <c r="E31" s="69">
        <v>36133.79</v>
      </c>
      <c r="F31" s="156">
        <v>36163.845000000001</v>
      </c>
      <c r="G31" s="156">
        <v>31195.645</v>
      </c>
      <c r="H31" s="156">
        <v>32834.252</v>
      </c>
      <c r="I31" s="156">
        <v>34156.129000000001</v>
      </c>
      <c r="J31" s="316">
        <v>36320.375999999997</v>
      </c>
      <c r="K31" s="316">
        <v>37502.095999999998</v>
      </c>
      <c r="L31" s="316">
        <v>37808.311000000002</v>
      </c>
      <c r="M31" s="316"/>
    </row>
    <row r="32" spans="1:13" ht="15" customHeight="1">
      <c r="A32" s="83" t="s">
        <v>374</v>
      </c>
      <c r="B32" s="69">
        <v>268.09391893709198</v>
      </c>
      <c r="C32" s="69">
        <v>275.13983985145597</v>
      </c>
      <c r="D32" s="69">
        <v>255.61341157216299</v>
      </c>
      <c r="E32" s="69">
        <v>256.24695264173602</v>
      </c>
      <c r="F32" s="156">
        <v>269.05440888020502</v>
      </c>
      <c r="G32" s="156">
        <v>273.74200892911699</v>
      </c>
      <c r="H32" s="156">
        <v>302.46462170404101</v>
      </c>
      <c r="I32" s="156">
        <v>298.21129131287</v>
      </c>
      <c r="J32" s="316">
        <v>302.150761856987</v>
      </c>
      <c r="K32" s="316">
        <v>289.95376157284102</v>
      </c>
      <c r="L32" s="316">
        <v>279.30429060787401</v>
      </c>
      <c r="M32" s="316"/>
    </row>
    <row r="33" spans="1:13" ht="15" customHeight="1">
      <c r="A33" s="83" t="s">
        <v>375</v>
      </c>
      <c r="B33" s="69">
        <v>11.368288999999999</v>
      </c>
      <c r="C33" s="69">
        <v>11.916302999999999</v>
      </c>
      <c r="D33" s="69">
        <v>11.108919999999999</v>
      </c>
      <c r="E33" s="69">
        <v>12.372617999999999</v>
      </c>
      <c r="F33" s="156">
        <v>14.209110000000001</v>
      </c>
      <c r="G33" s="156">
        <v>16.551402000000003</v>
      </c>
      <c r="H33" s="156">
        <v>17.137751000000002</v>
      </c>
      <c r="I33" s="156">
        <v>17.228282999999998</v>
      </c>
      <c r="J33" s="316">
        <v>17.00717146819672</v>
      </c>
      <c r="K33" s="316">
        <v>16.705039379999999</v>
      </c>
      <c r="L33" s="316">
        <v>16.400325299999999</v>
      </c>
      <c r="M33" s="316"/>
    </row>
    <row r="34" spans="1:13" ht="15" customHeight="1">
      <c r="A34" s="83" t="s">
        <v>377</v>
      </c>
      <c r="B34" s="69">
        <v>34.780450000000002</v>
      </c>
      <c r="C34" s="69">
        <v>43.088577000000001</v>
      </c>
      <c r="D34" s="69">
        <v>41.639790000000005</v>
      </c>
      <c r="E34" s="69">
        <v>41.969306000000003</v>
      </c>
      <c r="F34" s="156">
        <v>48.924045</v>
      </c>
      <c r="G34" s="156">
        <v>44.996100000000006</v>
      </c>
      <c r="H34" s="156">
        <v>46.564920999999998</v>
      </c>
      <c r="I34" s="156">
        <v>51.132008999999996</v>
      </c>
      <c r="J34" s="316">
        <v>44.335297097704917</v>
      </c>
      <c r="K34" s="316">
        <v>46.787849909999998</v>
      </c>
      <c r="L34" s="316">
        <v>46.891771200000008</v>
      </c>
      <c r="M34" s="316"/>
    </row>
    <row r="35" spans="1:13" ht="15" customHeight="1">
      <c r="A35" s="89" t="s">
        <v>376</v>
      </c>
      <c r="B35" s="69">
        <v>11.101471999999999</v>
      </c>
      <c r="C35" s="69">
        <v>11.604495000000002</v>
      </c>
      <c r="D35" s="69">
        <v>10.787345999999999</v>
      </c>
      <c r="E35" s="69">
        <v>12.068644000000001</v>
      </c>
      <c r="F35" s="156">
        <v>13.844205000000001</v>
      </c>
      <c r="G35" s="156">
        <v>16.197834</v>
      </c>
      <c r="H35" s="156">
        <v>16.767814000000001</v>
      </c>
      <c r="I35" s="156">
        <v>16.819343999999997</v>
      </c>
      <c r="J35" s="316">
        <v>16.689622319999998</v>
      </c>
      <c r="K35" s="316">
        <v>16.369572359999999</v>
      </c>
      <c r="L35" s="316">
        <v>16.06268085</v>
      </c>
      <c r="M35" s="316"/>
    </row>
    <row r="36" spans="1:13" ht="40.5" customHeight="1">
      <c r="A36" s="584" t="s">
        <v>648</v>
      </c>
      <c r="B36" s="585"/>
      <c r="C36" s="585"/>
      <c r="D36" s="585"/>
      <c r="E36" s="585"/>
      <c r="F36" s="585"/>
      <c r="G36" s="585"/>
      <c r="H36" s="585"/>
      <c r="I36" s="585"/>
      <c r="J36" s="585"/>
      <c r="K36" s="585"/>
      <c r="L36" s="585"/>
      <c r="M36" s="585"/>
    </row>
  </sheetData>
  <mergeCells count="4">
    <mergeCell ref="B4:E4"/>
    <mergeCell ref="F4:I4"/>
    <mergeCell ref="J4:M4"/>
    <mergeCell ref="A36:M36"/>
  </mergeCells>
  <phoneticPr fontId="16" type="noConversion"/>
  <pageMargins left="0.39" right="0.28000000000000003" top="0.984251969" bottom="0.984251969" header="0.5" footer="0.5"/>
  <pageSetup paperSize="9" scale="7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2">
    <tabColor indexed="24"/>
    <pageSetUpPr fitToPage="1"/>
  </sheetPr>
  <dimension ref="A1:O36"/>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5" ht="15" customHeight="1"/>
    <row r="2" spans="1:15" ht="15" customHeight="1"/>
    <row r="3" spans="1:15" ht="15" customHeight="1" thickBot="1">
      <c r="A3" s="92" t="s">
        <v>45</v>
      </c>
      <c r="B3" s="299"/>
      <c r="C3" s="299"/>
      <c r="D3" s="299"/>
      <c r="E3" s="299"/>
      <c r="F3" s="305"/>
      <c r="G3" s="305"/>
      <c r="H3" s="305"/>
      <c r="I3" s="305"/>
      <c r="J3" s="393"/>
      <c r="K3" s="393"/>
      <c r="L3" s="393"/>
      <c r="M3" s="393"/>
    </row>
    <row r="4" spans="1:15" ht="15" customHeight="1" thickBot="1">
      <c r="A4" s="78"/>
      <c r="B4" s="576">
        <v>2014</v>
      </c>
      <c r="C4" s="577"/>
      <c r="D4" s="577"/>
      <c r="E4" s="578"/>
      <c r="F4" s="579">
        <v>2015</v>
      </c>
      <c r="G4" s="580"/>
      <c r="H4" s="580"/>
      <c r="I4" s="581"/>
      <c r="J4" s="582">
        <v>2016</v>
      </c>
      <c r="K4" s="583"/>
      <c r="L4" s="583"/>
      <c r="M4" s="583"/>
    </row>
    <row r="5" spans="1:15" ht="15" customHeight="1" thickBot="1">
      <c r="A5" s="79" t="s">
        <v>527</v>
      </c>
      <c r="B5" s="262" t="s">
        <v>510</v>
      </c>
      <c r="C5" s="262" t="s">
        <v>511</v>
      </c>
      <c r="D5" s="262" t="s">
        <v>513</v>
      </c>
      <c r="E5" s="263" t="s">
        <v>514</v>
      </c>
      <c r="F5" s="307" t="s">
        <v>510</v>
      </c>
      <c r="G5" s="307" t="s">
        <v>511</v>
      </c>
      <c r="H5" s="307" t="s">
        <v>513</v>
      </c>
      <c r="I5" s="310" t="s">
        <v>514</v>
      </c>
      <c r="J5" s="235" t="s">
        <v>510</v>
      </c>
      <c r="K5" s="235" t="s">
        <v>511</v>
      </c>
      <c r="L5" s="235" t="s">
        <v>513</v>
      </c>
      <c r="M5" s="496" t="s">
        <v>514</v>
      </c>
      <c r="N5" s="389"/>
    </row>
    <row r="6" spans="1:15" s="399" customFormat="1" ht="15" customHeight="1">
      <c r="A6" s="82" t="s">
        <v>61</v>
      </c>
      <c r="B6" s="187">
        <v>769.44157354972504</v>
      </c>
      <c r="C6" s="187">
        <v>852.76774313681494</v>
      </c>
      <c r="D6" s="187">
        <v>897.3924378436302</v>
      </c>
      <c r="E6" s="187">
        <v>993.40112140846986</v>
      </c>
      <c r="F6" s="408">
        <v>1170.5509276680602</v>
      </c>
      <c r="G6" s="408">
        <v>1177.8596875923597</v>
      </c>
      <c r="H6" s="408">
        <v>1212.7009123752996</v>
      </c>
      <c r="I6" s="408">
        <v>1233.7780310253102</v>
      </c>
      <c r="J6" s="409">
        <v>1305.6297176120099</v>
      </c>
      <c r="K6" s="409">
        <v>1328.1755183662901</v>
      </c>
      <c r="L6" s="409">
        <v>1311.4315246490801</v>
      </c>
      <c r="M6" s="409"/>
      <c r="O6" s="229"/>
    </row>
    <row r="7" spans="1:15" s="399" customFormat="1" ht="15" customHeight="1">
      <c r="A7" s="83" t="s">
        <v>140</v>
      </c>
      <c r="B7" s="187">
        <v>142.81291521828203</v>
      </c>
      <c r="C7" s="187">
        <v>156.84389898929996</v>
      </c>
      <c r="D7" s="187">
        <v>166.57862165596003</v>
      </c>
      <c r="E7" s="187">
        <v>182.99646170633201</v>
      </c>
      <c r="F7" s="408">
        <v>199.59848034113401</v>
      </c>
      <c r="G7" s="408">
        <v>172.93446441918798</v>
      </c>
      <c r="H7" s="408">
        <v>186.17120138517697</v>
      </c>
      <c r="I7" s="408">
        <v>190.92312007821806</v>
      </c>
      <c r="J7" s="409">
        <v>203.18311245564701</v>
      </c>
      <c r="K7" s="409">
        <v>209.18832788226501</v>
      </c>
      <c r="L7" s="409">
        <v>219.86308714209196</v>
      </c>
      <c r="M7" s="409"/>
      <c r="O7" s="229"/>
    </row>
    <row r="8" spans="1:15" s="399" customFormat="1" ht="18" customHeight="1">
      <c r="A8" s="84" t="s">
        <v>6</v>
      </c>
      <c r="B8" s="410">
        <v>912.25448876800704</v>
      </c>
      <c r="C8" s="410">
        <v>1009.6116421261148</v>
      </c>
      <c r="D8" s="410">
        <v>1063.9710594995904</v>
      </c>
      <c r="E8" s="410">
        <v>1176.3975831148018</v>
      </c>
      <c r="F8" s="411">
        <v>1370.1494080091943</v>
      </c>
      <c r="G8" s="411">
        <v>1350.7941520115478</v>
      </c>
      <c r="H8" s="411">
        <v>1398.8721137604766</v>
      </c>
      <c r="I8" s="411">
        <v>1424.701151103528</v>
      </c>
      <c r="J8" s="412">
        <v>1508.8128300676569</v>
      </c>
      <c r="K8" s="412">
        <v>1537.3638462485553</v>
      </c>
      <c r="L8" s="412">
        <v>1531.2946117911715</v>
      </c>
      <c r="M8" s="412"/>
      <c r="O8" s="229"/>
    </row>
    <row r="9" spans="1:15" s="399" customFormat="1" ht="15" customHeight="1">
      <c r="A9" s="83" t="s">
        <v>550</v>
      </c>
      <c r="B9" s="187">
        <v>4.9958989814065502</v>
      </c>
      <c r="C9" s="187">
        <v>8.0306786908485499</v>
      </c>
      <c r="D9" s="187">
        <v>7.6281614705749003</v>
      </c>
      <c r="E9" s="187">
        <v>8.3653653719693004</v>
      </c>
      <c r="F9" s="408">
        <v>10.1975331876985</v>
      </c>
      <c r="G9" s="408">
        <v>6.1915803075053013</v>
      </c>
      <c r="H9" s="408">
        <v>8.6144002553474976</v>
      </c>
      <c r="I9" s="408">
        <v>8.4106442095009015</v>
      </c>
      <c r="J9" s="409">
        <v>7.9279228922388905</v>
      </c>
      <c r="K9" s="409">
        <v>9.8569493463460098</v>
      </c>
      <c r="L9" s="409">
        <v>10.605765654554602</v>
      </c>
      <c r="M9" s="409"/>
      <c r="O9" s="229"/>
    </row>
    <row r="10" spans="1:15" s="399" customFormat="1" ht="18" customHeight="1">
      <c r="A10" s="84" t="s">
        <v>60</v>
      </c>
      <c r="B10" s="410">
        <v>917.25038774941356</v>
      </c>
      <c r="C10" s="410">
        <v>1017.6423208169634</v>
      </c>
      <c r="D10" s="410">
        <v>1071.5992209701651</v>
      </c>
      <c r="E10" s="410">
        <v>1184.7629484867716</v>
      </c>
      <c r="F10" s="411">
        <v>1380.3469411968929</v>
      </c>
      <c r="G10" s="411">
        <v>1356.9857323190529</v>
      </c>
      <c r="H10" s="411">
        <v>1407.486514015824</v>
      </c>
      <c r="I10" s="411">
        <v>1433.1117953130288</v>
      </c>
      <c r="J10" s="412">
        <v>1516.7407529598959</v>
      </c>
      <c r="K10" s="412">
        <v>1547.2207955949011</v>
      </c>
      <c r="L10" s="412">
        <v>1541.9003774457265</v>
      </c>
      <c r="M10" s="412"/>
      <c r="O10" s="229"/>
    </row>
    <row r="11" spans="1:15" s="399" customFormat="1" ht="15" customHeight="1">
      <c r="A11" s="83" t="s">
        <v>136</v>
      </c>
      <c r="B11" s="413">
        <v>1.2626568931393198</v>
      </c>
      <c r="C11" s="413">
        <v>3.1711652123951808</v>
      </c>
      <c r="D11" s="413">
        <v>2.1404743776587187</v>
      </c>
      <c r="E11" s="413">
        <v>2.445824576558131</v>
      </c>
      <c r="F11" s="414">
        <v>3.0316503129701999</v>
      </c>
      <c r="G11" s="414">
        <v>4.69684846619265</v>
      </c>
      <c r="H11" s="414">
        <v>3.2554003185305493</v>
      </c>
      <c r="I11" s="414">
        <v>2.649739625692801</v>
      </c>
      <c r="J11" s="415">
        <v>2.9317933807148902</v>
      </c>
      <c r="K11" s="415">
        <v>3.6227304870118995</v>
      </c>
      <c r="L11" s="415">
        <v>2.9538689579543096</v>
      </c>
      <c r="M11" s="415"/>
      <c r="O11" s="229"/>
    </row>
    <row r="12" spans="1:15" ht="18" customHeight="1">
      <c r="A12" s="558" t="s">
        <v>385</v>
      </c>
      <c r="B12" s="410">
        <v>918.51304464255293</v>
      </c>
      <c r="C12" s="410">
        <v>1020.8134860293586</v>
      </c>
      <c r="D12" s="410">
        <v>1073.739695347824</v>
      </c>
      <c r="E12" s="410">
        <v>1187.2087730633298</v>
      </c>
      <c r="F12" s="411">
        <v>1383.3785915098631</v>
      </c>
      <c r="G12" s="411">
        <v>1361.6825807852454</v>
      </c>
      <c r="H12" s="411">
        <v>1410.7419143343545</v>
      </c>
      <c r="I12" s="411">
        <v>1435.7615349387215</v>
      </c>
      <c r="J12" s="412">
        <v>1519.6725463406108</v>
      </c>
      <c r="K12" s="412">
        <v>1550.8435260819131</v>
      </c>
      <c r="L12" s="412">
        <v>1544.8542464036805</v>
      </c>
      <c r="M12" s="412"/>
      <c r="O12" s="229"/>
    </row>
    <row r="13" spans="1:15" ht="18" customHeight="1">
      <c r="A13" s="557" t="s">
        <v>386</v>
      </c>
      <c r="B13" s="187">
        <v>0.86974440000000008</v>
      </c>
      <c r="C13" s="187">
        <v>1.1788895999999998</v>
      </c>
      <c r="D13" s="187">
        <v>0.53298628826635985</v>
      </c>
      <c r="E13" s="187">
        <v>0.63797580899398065</v>
      </c>
      <c r="F13" s="408">
        <v>0</v>
      </c>
      <c r="G13" s="408">
        <v>0.71464926738138901</v>
      </c>
      <c r="H13" s="408">
        <v>0.86083261252206</v>
      </c>
      <c r="I13" s="408">
        <v>0.66722415855337003</v>
      </c>
      <c r="J13" s="409">
        <v>0</v>
      </c>
      <c r="K13" s="409">
        <v>0</v>
      </c>
      <c r="L13" s="409">
        <v>0</v>
      </c>
      <c r="M13" s="409"/>
      <c r="O13" s="229"/>
    </row>
    <row r="14" spans="1:15" ht="15" customHeight="1">
      <c r="A14" s="86"/>
      <c r="B14" s="187"/>
      <c r="C14" s="187"/>
      <c r="D14" s="187"/>
      <c r="E14" s="187"/>
      <c r="F14" s="408"/>
      <c r="G14" s="408"/>
      <c r="H14" s="408"/>
      <c r="I14" s="408"/>
      <c r="J14" s="409"/>
      <c r="K14" s="409"/>
      <c r="L14" s="409"/>
      <c r="M14" s="409"/>
      <c r="O14" s="229"/>
    </row>
    <row r="15" spans="1:15" ht="18" customHeight="1">
      <c r="A15" s="87" t="s">
        <v>548</v>
      </c>
      <c r="B15" s="416">
        <v>-82.7007123494502</v>
      </c>
      <c r="C15" s="416">
        <v>-106.39832137120281</v>
      </c>
      <c r="D15" s="416">
        <v>-135.81433877634194</v>
      </c>
      <c r="E15" s="416">
        <v>-97.171616503661028</v>
      </c>
      <c r="F15" s="417">
        <v>-53.862330688432799</v>
      </c>
      <c r="G15" s="417">
        <v>23.763182277550197</v>
      </c>
      <c r="H15" s="417">
        <v>-57.918808894012386</v>
      </c>
      <c r="I15" s="417">
        <v>41.307111565455493</v>
      </c>
      <c r="J15" s="418">
        <v>35.178632542734697</v>
      </c>
      <c r="K15" s="418">
        <v>140.53512480273531</v>
      </c>
      <c r="L15" s="418">
        <v>131.69925228042501</v>
      </c>
      <c r="M15" s="418"/>
      <c r="O15" s="229"/>
    </row>
    <row r="16" spans="1:15" ht="15" customHeight="1">
      <c r="A16" s="83" t="s">
        <v>477</v>
      </c>
      <c r="B16" s="187">
        <v>1672.7549247264719</v>
      </c>
      <c r="C16" s="187">
        <v>-1.3244090388238874</v>
      </c>
      <c r="D16" s="187">
        <v>11.171809759272037</v>
      </c>
      <c r="E16" s="187">
        <v>-99.61973994149389</v>
      </c>
      <c r="F16" s="408">
        <v>3.625572316600131</v>
      </c>
      <c r="G16" s="408">
        <v>2.2242381742074091</v>
      </c>
      <c r="H16" s="408">
        <v>-22.932795625271439</v>
      </c>
      <c r="I16" s="408">
        <v>-116.7655479430817</v>
      </c>
      <c r="J16" s="409">
        <v>-551.48084417047346</v>
      </c>
      <c r="K16" s="409">
        <v>10.649545068000634</v>
      </c>
      <c r="L16" s="409">
        <v>30.6537610710119</v>
      </c>
      <c r="M16" s="409"/>
      <c r="O16" s="229"/>
    </row>
    <row r="17" spans="1:15" ht="18" customHeight="1">
      <c r="A17" s="88" t="s">
        <v>535</v>
      </c>
      <c r="B17" s="416">
        <v>1590.0542123770217</v>
      </c>
      <c r="C17" s="416">
        <v>-107.72273041002677</v>
      </c>
      <c r="D17" s="416">
        <v>-124.64252901706982</v>
      </c>
      <c r="E17" s="416">
        <v>-196.79135644515486</v>
      </c>
      <c r="F17" s="417">
        <v>-50.236758371832664</v>
      </c>
      <c r="G17" s="417">
        <v>25.9874204517576</v>
      </c>
      <c r="H17" s="417">
        <v>-80.851604519283825</v>
      </c>
      <c r="I17" s="417">
        <v>-75.458436377626199</v>
      </c>
      <c r="J17" s="418">
        <v>-516.30221162773876</v>
      </c>
      <c r="K17" s="418">
        <v>151.18466987073595</v>
      </c>
      <c r="L17" s="418">
        <v>162.35301335143691</v>
      </c>
      <c r="M17" s="418"/>
      <c r="O17" s="229"/>
    </row>
    <row r="18" spans="1:15" ht="15" customHeight="1">
      <c r="A18" s="83" t="s">
        <v>143</v>
      </c>
      <c r="B18" s="187">
        <v>-59.063162005680098</v>
      </c>
      <c r="C18" s="187">
        <v>-61.894212000914905</v>
      </c>
      <c r="D18" s="187">
        <v>-70.071791539724003</v>
      </c>
      <c r="E18" s="187">
        <v>-87.910807049591028</v>
      </c>
      <c r="F18" s="408">
        <v>-108.596263126723</v>
      </c>
      <c r="G18" s="408">
        <v>-109.69032359925301</v>
      </c>
      <c r="H18" s="408">
        <v>-234.41930410780401</v>
      </c>
      <c r="I18" s="408">
        <v>-307.541662312212</v>
      </c>
      <c r="J18" s="409">
        <v>-281.76136743874804</v>
      </c>
      <c r="K18" s="409">
        <v>-58.626061645097934</v>
      </c>
      <c r="L18" s="409">
        <v>-62.853667911572018</v>
      </c>
      <c r="M18" s="409"/>
      <c r="O18" s="229"/>
    </row>
    <row r="19" spans="1:15" ht="15" customHeight="1">
      <c r="A19" s="89" t="s">
        <v>593</v>
      </c>
      <c r="B19" s="419">
        <v>0</v>
      </c>
      <c r="C19" s="419">
        <v>0</v>
      </c>
      <c r="D19" s="419">
        <v>0</v>
      </c>
      <c r="E19" s="419">
        <v>0</v>
      </c>
      <c r="F19" s="420">
        <v>0</v>
      </c>
      <c r="G19" s="420">
        <v>-6.6166209900969593</v>
      </c>
      <c r="H19" s="420">
        <v>-58.174454165099142</v>
      </c>
      <c r="I19" s="420">
        <v>15.131150953952506</v>
      </c>
      <c r="J19" s="421">
        <v>-2301.6501733059299</v>
      </c>
      <c r="K19" s="421">
        <v>-224.46445085189043</v>
      </c>
      <c r="L19" s="421">
        <v>-4142.6606846831492</v>
      </c>
      <c r="M19" s="421"/>
      <c r="O19" s="229"/>
    </row>
    <row r="20" spans="1:15" ht="18" customHeight="1">
      <c r="A20" s="84" t="s">
        <v>414</v>
      </c>
      <c r="B20" s="422">
        <v>1530.9910503713284</v>
      </c>
      <c r="C20" s="422">
        <v>-169.61694240695579</v>
      </c>
      <c r="D20" s="422">
        <v>-194.71432055674177</v>
      </c>
      <c r="E20" s="422">
        <v>-284.70216349464602</v>
      </c>
      <c r="F20" s="423">
        <v>-158.83302150098706</v>
      </c>
      <c r="G20" s="423">
        <v>-90.319524137592367</v>
      </c>
      <c r="H20" s="423">
        <v>-373.44536279218687</v>
      </c>
      <c r="I20" s="423">
        <v>-367.86894773588585</v>
      </c>
      <c r="J20" s="424">
        <v>-3099.7137523724168</v>
      </c>
      <c r="K20" s="424">
        <v>-131.90584262625225</v>
      </c>
      <c r="L20" s="424">
        <v>-4043.1613392432851</v>
      </c>
      <c r="M20" s="424"/>
      <c r="O20" s="229"/>
    </row>
    <row r="21" spans="1:15" ht="15" customHeight="1">
      <c r="A21" s="83"/>
      <c r="B21" s="187"/>
      <c r="C21" s="187"/>
      <c r="D21" s="187"/>
      <c r="E21" s="187"/>
      <c r="F21" s="408"/>
      <c r="G21" s="408"/>
      <c r="H21" s="408"/>
      <c r="I21" s="408"/>
      <c r="J21" s="409"/>
      <c r="K21" s="409"/>
      <c r="L21" s="409"/>
      <c r="M21" s="409"/>
      <c r="O21" s="229"/>
    </row>
    <row r="22" spans="1:15" ht="15" customHeight="1">
      <c r="A22" s="83" t="s">
        <v>479</v>
      </c>
      <c r="B22" s="186" t="s">
        <v>557</v>
      </c>
      <c r="C22" s="186" t="s">
        <v>557</v>
      </c>
      <c r="D22" s="186" t="s">
        <v>557</v>
      </c>
      <c r="E22" s="186" t="s">
        <v>557</v>
      </c>
      <c r="F22" s="188" t="s">
        <v>557</v>
      </c>
      <c r="G22" s="188">
        <v>1.7451337494415635</v>
      </c>
      <c r="H22" s="188" t="s">
        <v>557</v>
      </c>
      <c r="I22" s="188">
        <v>2.8770175659580186</v>
      </c>
      <c r="J22" s="328">
        <v>2.314882415125894</v>
      </c>
      <c r="K22" s="328">
        <v>9.0618506921705055</v>
      </c>
      <c r="L22" s="328">
        <v>8.5250276902829025</v>
      </c>
      <c r="M22" s="328"/>
      <c r="O22" s="229"/>
    </row>
    <row r="23" spans="1:15" ht="15" customHeight="1">
      <c r="A23" s="83" t="s">
        <v>62</v>
      </c>
      <c r="B23" s="186">
        <v>173.11177251661184</v>
      </c>
      <c r="C23" s="186" t="s">
        <v>557</v>
      </c>
      <c r="D23" s="186" t="s">
        <v>557</v>
      </c>
      <c r="E23" s="186" t="s">
        <v>557</v>
      </c>
      <c r="F23" s="188" t="s">
        <v>557</v>
      </c>
      <c r="G23" s="188">
        <v>1.908478585131886</v>
      </c>
      <c r="H23" s="188" t="s">
        <v>557</v>
      </c>
      <c r="I23" s="188" t="s">
        <v>557</v>
      </c>
      <c r="J23" s="328" t="s">
        <v>557</v>
      </c>
      <c r="K23" s="328">
        <v>9.7485444100664616</v>
      </c>
      <c r="L23" s="328">
        <v>10.509277087426474</v>
      </c>
      <c r="M23" s="328"/>
      <c r="O23" s="229"/>
    </row>
    <row r="24" spans="1:15" ht="15" customHeight="1">
      <c r="A24" s="83" t="s">
        <v>63</v>
      </c>
      <c r="B24" s="186" t="s">
        <v>557</v>
      </c>
      <c r="C24" s="186" t="s">
        <v>557</v>
      </c>
      <c r="D24" s="186" t="s">
        <v>557</v>
      </c>
      <c r="E24" s="186" t="s">
        <v>557</v>
      </c>
      <c r="F24" s="188" t="s">
        <v>557</v>
      </c>
      <c r="G24" s="188" t="s">
        <v>557</v>
      </c>
      <c r="H24" s="188" t="s">
        <v>557</v>
      </c>
      <c r="I24" s="188" t="s">
        <v>557</v>
      </c>
      <c r="J24" s="328" t="s">
        <v>557</v>
      </c>
      <c r="K24" s="328" t="s">
        <v>557</v>
      </c>
      <c r="L24" s="328" t="s">
        <v>557</v>
      </c>
      <c r="M24" s="328"/>
      <c r="O24" s="229"/>
    </row>
    <row r="25" spans="1:15" ht="15" customHeight="1">
      <c r="A25" s="83"/>
      <c r="B25" s="187"/>
      <c r="C25" s="187"/>
      <c r="D25" s="187"/>
      <c r="E25" s="187"/>
      <c r="F25" s="408"/>
      <c r="G25" s="408"/>
      <c r="H25" s="408"/>
      <c r="I25" s="408"/>
      <c r="J25" s="409"/>
      <c r="K25" s="409"/>
      <c r="L25" s="409"/>
      <c r="M25" s="409"/>
      <c r="O25" s="229"/>
    </row>
    <row r="26" spans="1:15" ht="15" customHeight="1">
      <c r="A26" s="83" t="s">
        <v>64</v>
      </c>
      <c r="B26" s="187">
        <v>116.982329243809</v>
      </c>
      <c r="C26" s="187">
        <v>129.838186273557</v>
      </c>
      <c r="D26" s="187">
        <v>996.59559338263421</v>
      </c>
      <c r="E26" s="187">
        <v>130.44119874609987</v>
      </c>
      <c r="F26" s="408">
        <v>108.73296407922901</v>
      </c>
      <c r="G26" s="408">
        <v>252.90937975039395</v>
      </c>
      <c r="H26" s="408">
        <v>195.1907820925129</v>
      </c>
      <c r="I26" s="408">
        <v>489.42509419063413</v>
      </c>
      <c r="J26" s="409">
        <v>408.53629595812998</v>
      </c>
      <c r="K26" s="409">
        <v>203.17836562938299</v>
      </c>
      <c r="L26" s="409">
        <v>185.9769771099551</v>
      </c>
      <c r="M26" s="409"/>
      <c r="O26" s="229"/>
    </row>
    <row r="27" spans="1:15" ht="15" customHeight="1">
      <c r="A27" s="83" t="s">
        <v>0</v>
      </c>
      <c r="B27" s="69">
        <v>0</v>
      </c>
      <c r="C27" s="69">
        <v>0</v>
      </c>
      <c r="D27" s="69">
        <v>0</v>
      </c>
      <c r="E27" s="69">
        <v>0</v>
      </c>
      <c r="F27" s="156">
        <v>0</v>
      </c>
      <c r="G27" s="156">
        <v>0</v>
      </c>
      <c r="H27" s="156">
        <v>0</v>
      </c>
      <c r="I27" s="156">
        <v>0</v>
      </c>
      <c r="J27" s="409">
        <v>0</v>
      </c>
      <c r="K27" s="409">
        <v>0</v>
      </c>
      <c r="L27" s="409">
        <v>0</v>
      </c>
      <c r="M27" s="409"/>
      <c r="O27" s="229"/>
    </row>
    <row r="28" spans="1:15" s="190" customFormat="1" ht="15" customHeight="1">
      <c r="A28" s="196" t="s">
        <v>480</v>
      </c>
      <c r="B28" s="270">
        <v>116.982329243809</v>
      </c>
      <c r="C28" s="270">
        <v>129.838186273557</v>
      </c>
      <c r="D28" s="270">
        <v>176.22270198263425</v>
      </c>
      <c r="E28" s="270">
        <v>106.09839365559685</v>
      </c>
      <c r="F28" s="207">
        <v>103.89774722241229</v>
      </c>
      <c r="G28" s="207">
        <v>247.82211003182786</v>
      </c>
      <c r="H28" s="207">
        <v>189.8437479313603</v>
      </c>
      <c r="I28" s="207">
        <v>489.26562232716952</v>
      </c>
      <c r="J28" s="316">
        <v>408.53629595812998</v>
      </c>
      <c r="K28" s="316">
        <v>203.17836562938299</v>
      </c>
      <c r="L28" s="316">
        <v>130.81472873795511</v>
      </c>
      <c r="M28" s="316"/>
      <c r="O28" s="229"/>
    </row>
    <row r="29" spans="1:15" ht="15" customHeight="1">
      <c r="A29" s="90"/>
      <c r="B29" s="419"/>
      <c r="C29" s="419"/>
      <c r="D29" s="419"/>
      <c r="E29" s="419"/>
      <c r="F29" s="420"/>
      <c r="G29" s="420"/>
      <c r="H29" s="420"/>
      <c r="I29" s="420"/>
      <c r="J29" s="421"/>
      <c r="K29" s="421"/>
      <c r="L29" s="421"/>
      <c r="M29" s="421"/>
      <c r="O29" s="229"/>
    </row>
    <row r="30" spans="1:15" ht="15" customHeight="1">
      <c r="A30" s="91" t="s">
        <v>373</v>
      </c>
      <c r="B30" s="187">
        <v>30543</v>
      </c>
      <c r="C30" s="187">
        <v>32556</v>
      </c>
      <c r="D30" s="187">
        <v>34362.701999999997</v>
      </c>
      <c r="E30" s="187">
        <v>36665.209000000003</v>
      </c>
      <c r="F30" s="408">
        <v>38504.678999999996</v>
      </c>
      <c r="G30" s="408">
        <v>39848.936999999998</v>
      </c>
      <c r="H30" s="408">
        <v>40854.519999999997</v>
      </c>
      <c r="I30" s="408">
        <v>42618.576999999997</v>
      </c>
      <c r="J30" s="409">
        <v>44144.15</v>
      </c>
      <c r="K30" s="409">
        <v>44907.495999999999</v>
      </c>
      <c r="L30" s="409">
        <v>44721.572</v>
      </c>
      <c r="M30" s="409"/>
      <c r="O30" s="229"/>
    </row>
    <row r="31" spans="1:15" ht="15" customHeight="1">
      <c r="A31" s="83" t="s">
        <v>376</v>
      </c>
      <c r="B31" s="187">
        <v>30543</v>
      </c>
      <c r="C31" s="187">
        <v>32556</v>
      </c>
      <c r="D31" s="187">
        <v>34362.701999999997</v>
      </c>
      <c r="E31" s="187">
        <v>36665.209000000003</v>
      </c>
      <c r="F31" s="408">
        <v>38504.678999999996</v>
      </c>
      <c r="G31" s="408">
        <v>39848.936999999998</v>
      </c>
      <c r="H31" s="408">
        <v>40854.519999999997</v>
      </c>
      <c r="I31" s="408">
        <v>42618.576999999997</v>
      </c>
      <c r="J31" s="409">
        <v>44144.15</v>
      </c>
      <c r="K31" s="409">
        <v>44907.495999999999</v>
      </c>
      <c r="L31" s="409">
        <v>44721.572</v>
      </c>
      <c r="M31" s="409"/>
      <c r="O31" s="229"/>
    </row>
    <row r="32" spans="1:15" ht="15" customHeight="1">
      <c r="A32" s="83" t="s">
        <v>374</v>
      </c>
      <c r="B32" s="187">
        <v>463</v>
      </c>
      <c r="C32" s="187">
        <v>449</v>
      </c>
      <c r="D32" s="187">
        <v>425.32856616763303</v>
      </c>
      <c r="E32" s="187">
        <v>415.89098641974101</v>
      </c>
      <c r="F32" s="408">
        <v>419.74338369176701</v>
      </c>
      <c r="G32" s="408">
        <v>414.42805016001398</v>
      </c>
      <c r="H32" s="408">
        <v>397.708871772539</v>
      </c>
      <c r="I32" s="408">
        <v>382.59533160124101</v>
      </c>
      <c r="J32" s="409">
        <v>400.31161101386499</v>
      </c>
      <c r="K32" s="409">
        <v>405.237283865194</v>
      </c>
      <c r="L32" s="409">
        <v>394.74988587869802</v>
      </c>
      <c r="M32" s="409"/>
      <c r="O32" s="229"/>
    </row>
    <row r="33" spans="1:15" ht="15" customHeight="1">
      <c r="A33" s="89" t="s">
        <v>375</v>
      </c>
      <c r="B33" s="419">
        <v>10</v>
      </c>
      <c r="C33" s="419">
        <v>11</v>
      </c>
      <c r="D33" s="419">
        <v>10.71209</v>
      </c>
      <c r="E33" s="419">
        <v>11.23512</v>
      </c>
      <c r="F33" s="420">
        <v>12.24554</v>
      </c>
      <c r="G33" s="420">
        <v>11.596780000000001</v>
      </c>
      <c r="H33" s="420">
        <v>11.57124</v>
      </c>
      <c r="I33" s="420">
        <v>11.378399999999999</v>
      </c>
      <c r="J33" s="421">
        <v>11.561804754098361</v>
      </c>
      <c r="K33" s="421">
        <v>11.52556</v>
      </c>
      <c r="L33" s="421">
        <v>11.37345</v>
      </c>
      <c r="M33" s="421"/>
      <c r="O33" s="229"/>
    </row>
    <row r="36" spans="1:15">
      <c r="B36" s="229"/>
    </row>
  </sheetData>
  <mergeCells count="3">
    <mergeCell ref="B4:E4"/>
    <mergeCell ref="F4:I4"/>
    <mergeCell ref="J4:M4"/>
  </mergeCells>
  <pageMargins left="0.39" right="0.28000000000000003" top="0.984251969" bottom="0.984251969" header="0.5" footer="0.5"/>
  <pageSetup paperSize="9" scale="7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4"/>
    <pageSetUpPr fitToPage="1"/>
  </sheetPr>
  <dimension ref="A1:N49"/>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4" ht="15" customHeight="1"/>
    <row r="2" spans="1:14" ht="15" customHeight="1"/>
    <row r="3" spans="1:14" ht="15" customHeight="1" thickBot="1">
      <c r="A3" s="92" t="s">
        <v>653</v>
      </c>
      <c r="B3" s="314"/>
      <c r="C3" s="314"/>
      <c r="D3" s="314"/>
      <c r="E3" s="314"/>
      <c r="F3" s="314"/>
      <c r="G3" s="314"/>
      <c r="H3" s="314"/>
      <c r="I3" s="314"/>
      <c r="J3" s="393"/>
      <c r="K3" s="393"/>
      <c r="L3" s="393"/>
      <c r="M3" s="393"/>
    </row>
    <row r="4" spans="1:14" ht="15" customHeight="1" thickBot="1">
      <c r="A4" s="78"/>
      <c r="B4" s="576">
        <v>2014</v>
      </c>
      <c r="C4" s="577"/>
      <c r="D4" s="577"/>
      <c r="E4" s="578"/>
      <c r="F4" s="579">
        <v>2015</v>
      </c>
      <c r="G4" s="580"/>
      <c r="H4" s="580"/>
      <c r="I4" s="581"/>
      <c r="J4" s="582">
        <v>2016</v>
      </c>
      <c r="K4" s="583"/>
      <c r="L4" s="583"/>
      <c r="M4" s="583"/>
    </row>
    <row r="5" spans="1:14" ht="15" customHeight="1" thickBot="1">
      <c r="A5" s="79" t="s">
        <v>527</v>
      </c>
      <c r="B5" s="262" t="s">
        <v>510</v>
      </c>
      <c r="C5" s="262" t="s">
        <v>511</v>
      </c>
      <c r="D5" s="262" t="s">
        <v>513</v>
      </c>
      <c r="E5" s="263" t="s">
        <v>514</v>
      </c>
      <c r="F5" s="308" t="s">
        <v>510</v>
      </c>
      <c r="G5" s="308" t="s">
        <v>511</v>
      </c>
      <c r="H5" s="308" t="s">
        <v>513</v>
      </c>
      <c r="I5" s="309" t="s">
        <v>514</v>
      </c>
      <c r="J5" s="235" t="s">
        <v>510</v>
      </c>
      <c r="K5" s="235" t="s">
        <v>511</v>
      </c>
      <c r="L5" s="235" t="s">
        <v>513</v>
      </c>
      <c r="M5" s="496" t="s">
        <v>514</v>
      </c>
      <c r="N5" s="389"/>
    </row>
    <row r="6" spans="1:14" ht="15" customHeight="1">
      <c r="A6" s="82" t="s">
        <v>61</v>
      </c>
      <c r="B6" s="187">
        <v>0</v>
      </c>
      <c r="C6" s="187">
        <v>0</v>
      </c>
      <c r="D6" s="187">
        <v>2.7075017749999999</v>
      </c>
      <c r="E6" s="187">
        <v>222.07602970561001</v>
      </c>
      <c r="F6" s="408">
        <v>631.08833594400005</v>
      </c>
      <c r="G6" s="408">
        <v>936.64115197265994</v>
      </c>
      <c r="H6" s="408">
        <v>1185.2433066828</v>
      </c>
      <c r="I6" s="408">
        <v>1219.8972155725201</v>
      </c>
      <c r="J6" s="409">
        <v>1412.0493834991598</v>
      </c>
      <c r="K6" s="409">
        <v>1491.8015540721904</v>
      </c>
      <c r="L6" s="409">
        <v>1435.9189195095796</v>
      </c>
      <c r="M6" s="409"/>
      <c r="N6" s="153"/>
    </row>
    <row r="7" spans="1:14" ht="15" customHeight="1">
      <c r="A7" s="83" t="s">
        <v>140</v>
      </c>
      <c r="B7" s="187">
        <v>0</v>
      </c>
      <c r="C7" s="187">
        <v>0</v>
      </c>
      <c r="D7" s="187">
        <v>0</v>
      </c>
      <c r="E7" s="187">
        <v>41.162788659612993</v>
      </c>
      <c r="F7" s="408">
        <v>116.71592922475199</v>
      </c>
      <c r="G7" s="408">
        <v>176.20860436541201</v>
      </c>
      <c r="H7" s="408">
        <v>226.39505255558794</v>
      </c>
      <c r="I7" s="408">
        <v>261.50243572826002</v>
      </c>
      <c r="J7" s="409">
        <v>288.08962782479301</v>
      </c>
      <c r="K7" s="409">
        <v>279.60702642309496</v>
      </c>
      <c r="L7" s="409">
        <v>267.56372843246595</v>
      </c>
      <c r="M7" s="409"/>
      <c r="N7" s="153"/>
    </row>
    <row r="8" spans="1:14" ht="18" customHeight="1">
      <c r="A8" s="84" t="s">
        <v>6</v>
      </c>
      <c r="B8" s="410">
        <v>0</v>
      </c>
      <c r="C8" s="410">
        <v>0</v>
      </c>
      <c r="D8" s="410">
        <v>2.8740375878969999</v>
      </c>
      <c r="E8" s="410">
        <v>263.23881836522298</v>
      </c>
      <c r="F8" s="411">
        <v>747.80426516875207</v>
      </c>
      <c r="G8" s="411">
        <v>1112.849756338072</v>
      </c>
      <c r="H8" s="411">
        <v>1411.6383592383881</v>
      </c>
      <c r="I8" s="411">
        <v>1481.3996513007801</v>
      </c>
      <c r="J8" s="412">
        <v>1700.1390113239529</v>
      </c>
      <c r="K8" s="412">
        <v>1771.4085804952854</v>
      </c>
      <c r="L8" s="412">
        <v>1703.4826479420458</v>
      </c>
      <c r="M8" s="412"/>
      <c r="N8" s="153"/>
    </row>
    <row r="9" spans="1:14" ht="15" customHeight="1">
      <c r="A9" s="83" t="s">
        <v>550</v>
      </c>
      <c r="B9" s="187">
        <v>0</v>
      </c>
      <c r="C9" s="187">
        <v>0</v>
      </c>
      <c r="D9" s="187">
        <v>0</v>
      </c>
      <c r="E9" s="187">
        <v>2.1402845208480001</v>
      </c>
      <c r="F9" s="408">
        <v>2.5921455995159999</v>
      </c>
      <c r="G9" s="408">
        <v>4.2816354540220001</v>
      </c>
      <c r="H9" s="408">
        <v>4.4019260331091985</v>
      </c>
      <c r="I9" s="408">
        <v>7.2339029621204034</v>
      </c>
      <c r="J9" s="409">
        <v>5.8226611594200701</v>
      </c>
      <c r="K9" s="409">
        <v>6.1720889480981285</v>
      </c>
      <c r="L9" s="409">
        <v>14.447152356183702</v>
      </c>
      <c r="M9" s="409"/>
      <c r="N9" s="153"/>
    </row>
    <row r="10" spans="1:14" ht="18" customHeight="1">
      <c r="A10" s="84" t="s">
        <v>60</v>
      </c>
      <c r="B10" s="410">
        <v>0</v>
      </c>
      <c r="C10" s="410">
        <v>0</v>
      </c>
      <c r="D10" s="410">
        <v>2.9108999488969998</v>
      </c>
      <c r="E10" s="410">
        <v>265.379102886071</v>
      </c>
      <c r="F10" s="411">
        <v>750.39641076826808</v>
      </c>
      <c r="G10" s="411">
        <v>1117.1313917920938</v>
      </c>
      <c r="H10" s="411">
        <v>1416.0402852714974</v>
      </c>
      <c r="I10" s="411">
        <v>1488.6335542628999</v>
      </c>
      <c r="J10" s="412">
        <v>1705.9616724833729</v>
      </c>
      <c r="K10" s="412">
        <v>1777.5806694433834</v>
      </c>
      <c r="L10" s="412">
        <v>1717.9298002982296</v>
      </c>
      <c r="M10" s="412"/>
      <c r="N10" s="153"/>
    </row>
    <row r="11" spans="1:14" ht="15" customHeight="1">
      <c r="A11" s="83" t="s">
        <v>136</v>
      </c>
      <c r="B11" s="413">
        <v>0</v>
      </c>
      <c r="C11" s="413">
        <v>0</v>
      </c>
      <c r="D11" s="413">
        <v>0</v>
      </c>
      <c r="E11" s="413">
        <v>21.341045766075997</v>
      </c>
      <c r="F11" s="414">
        <v>17.329457375999997</v>
      </c>
      <c r="G11" s="414">
        <v>24.841546291646001</v>
      </c>
      <c r="H11" s="414">
        <v>16.629786864543604</v>
      </c>
      <c r="I11" s="414">
        <v>7.6343841089972031</v>
      </c>
      <c r="J11" s="415">
        <v>16.530209782081798</v>
      </c>
      <c r="K11" s="415">
        <v>24.840369720549901</v>
      </c>
      <c r="L11" s="415">
        <v>19.542731263025303</v>
      </c>
      <c r="M11" s="415"/>
      <c r="N11" s="153"/>
    </row>
    <row r="12" spans="1:14" ht="18" customHeight="1">
      <c r="A12" s="558" t="s">
        <v>385</v>
      </c>
      <c r="B12" s="410">
        <v>0</v>
      </c>
      <c r="C12" s="410">
        <v>0</v>
      </c>
      <c r="D12" s="410">
        <v>3.0842165038969998</v>
      </c>
      <c r="E12" s="410">
        <v>286.72014865214697</v>
      </c>
      <c r="F12" s="411">
        <v>767.72586814426813</v>
      </c>
      <c r="G12" s="411">
        <v>1141.9729380837398</v>
      </c>
      <c r="H12" s="411">
        <v>1432.6700721360412</v>
      </c>
      <c r="I12" s="411">
        <v>1496.2679383718969</v>
      </c>
      <c r="J12" s="412">
        <v>1722.4918822654547</v>
      </c>
      <c r="K12" s="412">
        <v>1802.4210391639333</v>
      </c>
      <c r="L12" s="412">
        <v>1737.472531561255</v>
      </c>
      <c r="M12" s="412"/>
      <c r="N12" s="153"/>
    </row>
    <row r="13" spans="1:14" ht="18" customHeight="1">
      <c r="A13" s="557" t="s">
        <v>386</v>
      </c>
      <c r="B13" s="187">
        <v>0</v>
      </c>
      <c r="C13" s="187">
        <v>0</v>
      </c>
      <c r="D13" s="187">
        <v>0</v>
      </c>
      <c r="E13" s="187">
        <v>5.2704934854610004</v>
      </c>
      <c r="F13" s="408">
        <v>18.041451968627999</v>
      </c>
      <c r="G13" s="408">
        <v>29.139782628414</v>
      </c>
      <c r="H13" s="408">
        <v>44.279555441726309</v>
      </c>
      <c r="I13" s="408">
        <v>58.398966886075684</v>
      </c>
      <c r="J13" s="409">
        <v>62.623568249544498</v>
      </c>
      <c r="K13" s="409">
        <v>67.552358185135517</v>
      </c>
      <c r="L13" s="409">
        <v>56.324031285913975</v>
      </c>
      <c r="M13" s="409"/>
      <c r="N13" s="153"/>
    </row>
    <row r="14" spans="1:14" ht="15" customHeight="1">
      <c r="A14" s="86"/>
      <c r="B14" s="187"/>
      <c r="C14" s="187"/>
      <c r="D14" s="187"/>
      <c r="E14" s="187"/>
      <c r="F14" s="408"/>
      <c r="G14" s="408"/>
      <c r="H14" s="408"/>
      <c r="I14" s="408"/>
      <c r="J14" s="409"/>
      <c r="K14" s="409"/>
      <c r="L14" s="409"/>
      <c r="M14" s="409"/>
      <c r="N14" s="153"/>
    </row>
    <row r="15" spans="1:14" ht="18" customHeight="1">
      <c r="A15" s="87" t="s">
        <v>548</v>
      </c>
      <c r="B15" s="416">
        <v>-68.056916532000002</v>
      </c>
      <c r="C15" s="416">
        <v>-83.103329888314988</v>
      </c>
      <c r="D15" s="416">
        <v>-108.248775277199</v>
      </c>
      <c r="E15" s="416">
        <v>-248.14507165768202</v>
      </c>
      <c r="F15" s="417">
        <v>152.289827828028</v>
      </c>
      <c r="G15" s="417">
        <v>479.31322724174197</v>
      </c>
      <c r="H15" s="417">
        <v>690.65496816327993</v>
      </c>
      <c r="I15" s="417">
        <v>639.51939428082005</v>
      </c>
      <c r="J15" s="418">
        <v>718.48320719491301</v>
      </c>
      <c r="K15" s="418">
        <v>827.33443226779684</v>
      </c>
      <c r="L15" s="418">
        <v>774.0796373654498</v>
      </c>
      <c r="M15" s="418"/>
      <c r="N15" s="153"/>
    </row>
    <row r="16" spans="1:14" ht="15" customHeight="1">
      <c r="A16" s="83" t="s">
        <v>477</v>
      </c>
      <c r="B16" s="187">
        <v>0</v>
      </c>
      <c r="C16" s="187">
        <v>0</v>
      </c>
      <c r="D16" s="187">
        <v>0</v>
      </c>
      <c r="E16" s="187">
        <v>0</v>
      </c>
      <c r="F16" s="408">
        <v>0</v>
      </c>
      <c r="G16" s="408">
        <v>0</v>
      </c>
      <c r="H16" s="408">
        <v>-13.034877528814599</v>
      </c>
      <c r="I16" s="408">
        <v>-24.429233224438612</v>
      </c>
      <c r="J16" s="409">
        <v>0</v>
      </c>
      <c r="K16" s="409">
        <v>-0.65632057762132345</v>
      </c>
      <c r="L16" s="409">
        <v>0</v>
      </c>
      <c r="M16" s="409"/>
      <c r="N16" s="153"/>
    </row>
    <row r="17" spans="1:14" ht="18" customHeight="1">
      <c r="A17" s="88" t="s">
        <v>535</v>
      </c>
      <c r="B17" s="416">
        <v>-68.056916532000002</v>
      </c>
      <c r="C17" s="416">
        <v>-83.103329888314988</v>
      </c>
      <c r="D17" s="416">
        <v>-108.25856419119901</v>
      </c>
      <c r="E17" s="416">
        <v>-248.15049797488001</v>
      </c>
      <c r="F17" s="417">
        <v>152.281980296028</v>
      </c>
      <c r="G17" s="417">
        <v>479.32173092744995</v>
      </c>
      <c r="H17" s="417">
        <v>677.62009063446533</v>
      </c>
      <c r="I17" s="417">
        <v>615.09016105638148</v>
      </c>
      <c r="J17" s="418">
        <v>718.48076474771665</v>
      </c>
      <c r="K17" s="418">
        <v>826.67811169017546</v>
      </c>
      <c r="L17" s="418">
        <v>773.98816587343754</v>
      </c>
      <c r="M17" s="418"/>
      <c r="N17" s="153"/>
    </row>
    <row r="18" spans="1:14" ht="15" customHeight="1">
      <c r="A18" s="83" t="s">
        <v>143</v>
      </c>
      <c r="B18" s="187">
        <v>-2.7422105699999997</v>
      </c>
      <c r="C18" s="187">
        <v>-2.8425760000000007</v>
      </c>
      <c r="D18" s="187">
        <v>-4.058770225</v>
      </c>
      <c r="E18" s="187">
        <v>-88.057354992373007</v>
      </c>
      <c r="F18" s="408">
        <v>-119.908159668</v>
      </c>
      <c r="G18" s="408">
        <v>-104.82233964651002</v>
      </c>
      <c r="H18" s="408">
        <v>-124.91943526746095</v>
      </c>
      <c r="I18" s="408">
        <v>-191.85418689620002</v>
      </c>
      <c r="J18" s="409">
        <v>-190.55724587072598</v>
      </c>
      <c r="K18" s="409">
        <v>-212.54686867828707</v>
      </c>
      <c r="L18" s="409">
        <v>-234.1888429608199</v>
      </c>
      <c r="M18" s="409"/>
      <c r="N18" s="153"/>
    </row>
    <row r="19" spans="1:14" ht="15" customHeight="1">
      <c r="A19" s="89" t="s">
        <v>43</v>
      </c>
      <c r="B19" s="419">
        <v>0</v>
      </c>
      <c r="C19" s="419">
        <v>0</v>
      </c>
      <c r="D19" s="419">
        <v>0</v>
      </c>
      <c r="E19" s="419">
        <v>0</v>
      </c>
      <c r="F19" s="420">
        <v>0</v>
      </c>
      <c r="G19" s="420">
        <v>0</v>
      </c>
      <c r="H19" s="420">
        <v>0</v>
      </c>
      <c r="I19" s="420">
        <v>0</v>
      </c>
      <c r="J19" s="421">
        <v>0</v>
      </c>
      <c r="K19" s="421">
        <v>0</v>
      </c>
      <c r="L19" s="421">
        <v>0</v>
      </c>
      <c r="M19" s="421"/>
      <c r="N19" s="153"/>
    </row>
    <row r="20" spans="1:14" ht="18" customHeight="1">
      <c r="A20" s="84" t="s">
        <v>414</v>
      </c>
      <c r="B20" s="422">
        <v>-70.799127102</v>
      </c>
      <c r="C20" s="422">
        <v>-85.945905888314996</v>
      </c>
      <c r="D20" s="422">
        <v>-112.317334416199</v>
      </c>
      <c r="E20" s="422">
        <v>-336.20785296725296</v>
      </c>
      <c r="F20" s="423">
        <v>32.373820628028</v>
      </c>
      <c r="G20" s="423">
        <v>374.49939128093996</v>
      </c>
      <c r="H20" s="423">
        <v>552.7006553670044</v>
      </c>
      <c r="I20" s="423">
        <v>423.23597416018151</v>
      </c>
      <c r="J20" s="424">
        <v>527.92351887699067</v>
      </c>
      <c r="K20" s="424">
        <v>614.13124301188839</v>
      </c>
      <c r="L20" s="424">
        <v>539.79932291261775</v>
      </c>
      <c r="M20" s="424"/>
      <c r="N20" s="153"/>
    </row>
    <row r="21" spans="1:14" ht="15" customHeight="1">
      <c r="A21" s="83"/>
      <c r="B21" s="187"/>
      <c r="C21" s="187"/>
      <c r="D21" s="187"/>
      <c r="E21" s="187"/>
      <c r="F21" s="408"/>
      <c r="G21" s="408"/>
      <c r="H21" s="408"/>
      <c r="I21" s="408"/>
      <c r="J21" s="409"/>
      <c r="K21" s="409"/>
      <c r="L21" s="409"/>
      <c r="M21" s="409"/>
      <c r="N21" s="153"/>
    </row>
    <row r="22" spans="1:14" ht="15" customHeight="1">
      <c r="A22" s="83" t="s">
        <v>479</v>
      </c>
      <c r="B22" s="186">
        <v>0</v>
      </c>
      <c r="C22" s="186" t="s">
        <v>557</v>
      </c>
      <c r="D22" s="186" t="s">
        <v>557</v>
      </c>
      <c r="E22" s="186" t="s">
        <v>557</v>
      </c>
      <c r="F22" s="188">
        <v>19.836485150114839</v>
      </c>
      <c r="G22" s="188">
        <v>41.972380540474283</v>
      </c>
      <c r="H22" s="188">
        <v>48.207537910912528</v>
      </c>
      <c r="I22" s="188">
        <v>42.740967568728841</v>
      </c>
      <c r="J22" s="328">
        <v>41.711848664851182</v>
      </c>
      <c r="K22" s="328">
        <v>45.901285786786097</v>
      </c>
      <c r="L22" s="328">
        <v>44.55205036651018</v>
      </c>
      <c r="M22" s="328"/>
      <c r="N22" s="153"/>
    </row>
    <row r="23" spans="1:14" ht="15" customHeight="1">
      <c r="A23" s="83" t="s">
        <v>62</v>
      </c>
      <c r="B23" s="186">
        <v>0</v>
      </c>
      <c r="C23" s="186" t="s">
        <v>557</v>
      </c>
      <c r="D23" s="186" t="s">
        <v>557</v>
      </c>
      <c r="E23" s="186" t="s">
        <v>557</v>
      </c>
      <c r="F23" s="188">
        <v>19.83546297119322</v>
      </c>
      <c r="G23" s="188">
        <v>41.973125189092855</v>
      </c>
      <c r="H23" s="188">
        <v>47.297706835193871</v>
      </c>
      <c r="I23" s="188">
        <v>41.108289851192481</v>
      </c>
      <c r="J23" s="328">
        <v>41.711706867538723</v>
      </c>
      <c r="K23" s="328">
        <v>45.864872509124524</v>
      </c>
      <c r="L23" s="328">
        <v>44.546785736977874</v>
      </c>
      <c r="M23" s="328"/>
      <c r="N23" s="153"/>
    </row>
    <row r="24" spans="1:14" ht="15" customHeight="1">
      <c r="A24" s="83" t="s">
        <v>63</v>
      </c>
      <c r="B24" s="186">
        <v>0</v>
      </c>
      <c r="C24" s="186" t="s">
        <v>557</v>
      </c>
      <c r="D24" s="186" t="s">
        <v>557</v>
      </c>
      <c r="E24" s="186" t="s">
        <v>557</v>
      </c>
      <c r="F24" s="188">
        <v>4.2168463993901053</v>
      </c>
      <c r="G24" s="188">
        <v>32.794068825252523</v>
      </c>
      <c r="H24" s="188">
        <v>38.578362605352304</v>
      </c>
      <c r="I24" s="188">
        <v>28.286108611049205</v>
      </c>
      <c r="J24" s="328">
        <v>30.648824781841956</v>
      </c>
      <c r="K24" s="328">
        <v>34.072574036128529</v>
      </c>
      <c r="L24" s="328">
        <v>31.068078090855678</v>
      </c>
      <c r="M24" s="328"/>
      <c r="N24" s="153"/>
    </row>
    <row r="25" spans="1:14" ht="15" customHeight="1">
      <c r="A25" s="83"/>
      <c r="B25" s="187"/>
      <c r="C25" s="187"/>
      <c r="D25" s="187"/>
      <c r="E25" s="187"/>
      <c r="F25" s="408"/>
      <c r="G25" s="408"/>
      <c r="H25" s="408"/>
      <c r="I25" s="408"/>
      <c r="J25" s="409"/>
      <c r="K25" s="409"/>
      <c r="L25" s="409"/>
      <c r="M25" s="409"/>
      <c r="N25" s="153"/>
    </row>
    <row r="26" spans="1:14" ht="15" customHeight="1">
      <c r="A26" s="83" t="s">
        <v>64</v>
      </c>
      <c r="B26" s="187">
        <v>3203.4215241379998</v>
      </c>
      <c r="C26" s="187">
        <v>275.32495646700045</v>
      </c>
      <c r="D26" s="187">
        <v>204.29367091699942</v>
      </c>
      <c r="E26" s="187">
        <v>598.12055671600001</v>
      </c>
      <c r="F26" s="408">
        <v>441.77821694028</v>
      </c>
      <c r="G26" s="408">
        <v>862.68505259571987</v>
      </c>
      <c r="H26" s="408">
        <v>1334.3577753151201</v>
      </c>
      <c r="I26" s="408">
        <v>741.02186071683991</v>
      </c>
      <c r="J26" s="409">
        <v>564.74611110863498</v>
      </c>
      <c r="K26" s="409">
        <v>766.47630153748514</v>
      </c>
      <c r="L26" s="409">
        <v>614.24732378575982</v>
      </c>
      <c r="M26" s="409"/>
      <c r="N26" s="153"/>
    </row>
    <row r="27" spans="1:14" ht="15" customHeight="1">
      <c r="A27" s="83" t="s">
        <v>0</v>
      </c>
      <c r="B27" s="69">
        <v>0</v>
      </c>
      <c r="C27" s="69">
        <v>0</v>
      </c>
      <c r="D27" s="69">
        <v>0</v>
      </c>
      <c r="E27" s="69">
        <v>0</v>
      </c>
      <c r="F27" s="156">
        <v>0</v>
      </c>
      <c r="G27" s="156">
        <v>0</v>
      </c>
      <c r="H27" s="156">
        <v>0</v>
      </c>
      <c r="I27" s="156">
        <v>0</v>
      </c>
      <c r="J27" s="409">
        <v>0</v>
      </c>
      <c r="K27" s="409">
        <v>0</v>
      </c>
      <c r="L27" s="409">
        <v>0</v>
      </c>
      <c r="M27" s="409"/>
      <c r="N27" s="153"/>
    </row>
    <row r="28" spans="1:14" s="190" customFormat="1" ht="15" customHeight="1">
      <c r="A28" s="196" t="s">
        <v>480</v>
      </c>
      <c r="B28" s="270">
        <v>302.24395924800001</v>
      </c>
      <c r="C28" s="270">
        <v>250.54178261200013</v>
      </c>
      <c r="D28" s="270">
        <v>141.89590609699962</v>
      </c>
      <c r="E28" s="270">
        <v>541.04543011599981</v>
      </c>
      <c r="F28" s="207">
        <v>441.77821694028</v>
      </c>
      <c r="G28" s="207">
        <v>862.68505259571987</v>
      </c>
      <c r="H28" s="207">
        <v>723.32450825682213</v>
      </c>
      <c r="I28" s="207">
        <v>769.41398897494582</v>
      </c>
      <c r="J28" s="316">
        <v>551.99311314158081</v>
      </c>
      <c r="K28" s="316">
        <v>766.38937467207734</v>
      </c>
      <c r="L28" s="316">
        <v>614.26592428529977</v>
      </c>
      <c r="M28" s="316"/>
    </row>
    <row r="29" spans="1:14" ht="15" customHeight="1">
      <c r="A29" s="90"/>
      <c r="B29" s="419"/>
      <c r="C29" s="419"/>
      <c r="D29" s="419"/>
      <c r="E29" s="419"/>
      <c r="F29" s="420"/>
      <c r="G29" s="420"/>
      <c r="H29" s="420"/>
      <c r="I29" s="420"/>
      <c r="J29" s="421"/>
      <c r="K29" s="421"/>
      <c r="L29" s="421"/>
      <c r="M29" s="421"/>
      <c r="N29" s="153"/>
    </row>
    <row r="30" spans="1:14" ht="15" customHeight="1">
      <c r="A30" s="91" t="s">
        <v>373</v>
      </c>
      <c r="B30" s="187">
        <v>0</v>
      </c>
      <c r="C30" s="187">
        <v>0</v>
      </c>
      <c r="D30" s="187">
        <v>281.48</v>
      </c>
      <c r="E30" s="187">
        <v>3406.18</v>
      </c>
      <c r="F30" s="408">
        <v>6390.8850000000002</v>
      </c>
      <c r="G30" s="408">
        <v>9513.3330000000005</v>
      </c>
      <c r="H30" s="408">
        <v>11792.888000000001</v>
      </c>
      <c r="I30" s="408">
        <v>13683.412</v>
      </c>
      <c r="J30" s="409">
        <v>15469.316999999999</v>
      </c>
      <c r="K30" s="409">
        <v>16889.28</v>
      </c>
      <c r="L30" s="409">
        <v>17816</v>
      </c>
      <c r="M30" s="409"/>
      <c r="N30" s="153"/>
    </row>
    <row r="31" spans="1:14" ht="15" customHeight="1">
      <c r="A31" s="83" t="s">
        <v>376</v>
      </c>
      <c r="B31" s="187">
        <v>0</v>
      </c>
      <c r="C31" s="187">
        <v>0</v>
      </c>
      <c r="D31" s="187">
        <v>281.48</v>
      </c>
      <c r="E31" s="187">
        <v>3406.18</v>
      </c>
      <c r="F31" s="408">
        <v>6390.6629999999996</v>
      </c>
      <c r="G31" s="408">
        <v>9512.0339999999997</v>
      </c>
      <c r="H31" s="408">
        <v>11790.556</v>
      </c>
      <c r="I31" s="408">
        <v>13680.835999999999</v>
      </c>
      <c r="J31" s="409">
        <v>15466.578</v>
      </c>
      <c r="K31" s="409">
        <v>16887</v>
      </c>
      <c r="L31" s="409">
        <v>17809</v>
      </c>
      <c r="M31" s="409"/>
      <c r="N31" s="153"/>
    </row>
    <row r="32" spans="1:14" ht="15" customHeight="1">
      <c r="A32" s="83" t="s">
        <v>374</v>
      </c>
      <c r="B32" s="187">
        <v>0</v>
      </c>
      <c r="C32" s="187">
        <v>0</v>
      </c>
      <c r="D32" s="187">
        <v>0</v>
      </c>
      <c r="E32" s="187">
        <v>205.98250049543901</v>
      </c>
      <c r="F32" s="408">
        <v>216.611131370582</v>
      </c>
      <c r="G32" s="408">
        <v>188.60703877812799</v>
      </c>
      <c r="H32" s="408">
        <v>163.11109010012001</v>
      </c>
      <c r="I32" s="408">
        <v>157.33965267577099</v>
      </c>
      <c r="J32" s="409">
        <v>231.558639602661</v>
      </c>
      <c r="K32" s="409">
        <v>143.03816306149</v>
      </c>
      <c r="L32" s="409">
        <v>133.02304463090601</v>
      </c>
      <c r="M32" s="409"/>
      <c r="N32" s="153"/>
    </row>
    <row r="33" spans="1:14" ht="15" customHeight="1">
      <c r="A33" s="83" t="s">
        <v>375</v>
      </c>
      <c r="B33" s="187">
        <v>0</v>
      </c>
      <c r="C33" s="187">
        <v>0</v>
      </c>
      <c r="D33" s="187">
        <v>0</v>
      </c>
      <c r="E33" s="187">
        <v>42.231603999999997</v>
      </c>
      <c r="F33" s="408">
        <v>51.851549999999996</v>
      </c>
      <c r="G33" s="408">
        <v>45.961566000000005</v>
      </c>
      <c r="H33" s="408">
        <v>43.777206</v>
      </c>
      <c r="I33" s="408">
        <v>39.578747999999997</v>
      </c>
      <c r="J33" s="409">
        <v>39.025799676888475</v>
      </c>
      <c r="K33" s="409">
        <v>36.148133999999999</v>
      </c>
      <c r="L33" s="409">
        <v>32.850900000000003</v>
      </c>
      <c r="M33" s="409"/>
      <c r="N33" s="153"/>
    </row>
    <row r="34" spans="1:14" ht="15" customHeight="1">
      <c r="A34" s="83" t="s">
        <v>377</v>
      </c>
      <c r="B34" s="187">
        <v>0</v>
      </c>
      <c r="C34" s="187">
        <v>0</v>
      </c>
      <c r="D34" s="187">
        <v>0</v>
      </c>
      <c r="E34" s="187">
        <v>0</v>
      </c>
      <c r="F34" s="408">
        <v>0</v>
      </c>
      <c r="G34" s="408">
        <v>0</v>
      </c>
      <c r="H34" s="408">
        <v>0</v>
      </c>
      <c r="I34" s="408">
        <v>117.53154332667991</v>
      </c>
      <c r="J34" s="409">
        <v>45.915950269641549</v>
      </c>
      <c r="K34" s="409">
        <v>55.133420202080224</v>
      </c>
      <c r="L34" s="409">
        <v>37.453200000000002</v>
      </c>
      <c r="M34" s="409"/>
      <c r="N34" s="153"/>
    </row>
    <row r="35" spans="1:14" ht="15" customHeight="1">
      <c r="A35" s="89" t="s">
        <v>376</v>
      </c>
      <c r="B35" s="187">
        <v>0</v>
      </c>
      <c r="C35" s="187">
        <v>0</v>
      </c>
      <c r="D35" s="187">
        <v>0</v>
      </c>
      <c r="E35" s="187">
        <v>42.231603999999997</v>
      </c>
      <c r="F35" s="420">
        <v>51.840899999999998</v>
      </c>
      <c r="G35" s="420">
        <v>45.951697000000003</v>
      </c>
      <c r="H35" s="420">
        <v>43.760772000000003</v>
      </c>
      <c r="I35" s="420">
        <v>39.563766000000001</v>
      </c>
      <c r="J35" s="421">
        <v>39.007493445651718</v>
      </c>
      <c r="K35" s="421">
        <v>36.130125</v>
      </c>
      <c r="L35" s="421">
        <v>32.823299999999996</v>
      </c>
      <c r="M35" s="421"/>
      <c r="N35" s="153"/>
    </row>
    <row r="36" spans="1:14" ht="23.25" customHeight="1">
      <c r="A36" s="562" t="s">
        <v>652</v>
      </c>
      <c r="B36" s="395"/>
      <c r="C36" s="395"/>
      <c r="D36" s="395"/>
      <c r="E36" s="395"/>
    </row>
    <row r="37" spans="1:14" ht="15">
      <c r="A37" s="4"/>
      <c r="B37" s="396"/>
      <c r="C37" s="396"/>
      <c r="D37" s="396"/>
      <c r="E37" s="396"/>
    </row>
    <row r="38" spans="1:14">
      <c r="A38" s="4"/>
    </row>
    <row r="39" spans="1:14">
      <c r="A39" s="4"/>
    </row>
    <row r="40" spans="1:14">
      <c r="A40" s="4"/>
    </row>
    <row r="41" spans="1:14">
      <c r="A41" s="4"/>
    </row>
    <row r="42" spans="1:14">
      <c r="A42" s="4"/>
    </row>
    <row r="43" spans="1:14">
      <c r="A43" s="4"/>
    </row>
    <row r="44" spans="1:14">
      <c r="A44" s="4"/>
    </row>
    <row r="45" spans="1:14">
      <c r="A45" s="4"/>
    </row>
    <row r="46" spans="1:14">
      <c r="A46" s="4"/>
    </row>
    <row r="47" spans="1:14">
      <c r="A47" s="4"/>
    </row>
    <row r="48" spans="1:14">
      <c r="A48" s="4"/>
    </row>
    <row r="49" spans="1:1">
      <c r="A49" s="4"/>
    </row>
  </sheetData>
  <mergeCells count="3">
    <mergeCell ref="B4:E4"/>
    <mergeCell ref="F4:I4"/>
    <mergeCell ref="J4:M4"/>
  </mergeCells>
  <pageMargins left="0.42" right="0.39" top="0.984251969" bottom="0.984251969" header="0.5" footer="0.5"/>
  <pageSetup paperSize="9" scale="7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6" enableFormatConditionsCalculation="0">
    <tabColor indexed="24"/>
    <pageSetUpPr fitToPage="1"/>
  </sheetPr>
  <dimension ref="A1:M47"/>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3" ht="15" customHeight="1"/>
    <row r="2" spans="1:13" ht="15" customHeight="1"/>
    <row r="3" spans="1:13" ht="15" customHeight="1" thickBot="1">
      <c r="A3" s="92" t="s">
        <v>508</v>
      </c>
      <c r="B3" s="93"/>
      <c r="C3" s="93"/>
      <c r="D3" s="93"/>
      <c r="E3" s="93"/>
      <c r="F3" s="93"/>
      <c r="G3" s="93"/>
      <c r="H3" s="93"/>
      <c r="I3" s="93"/>
      <c r="J3" s="93"/>
      <c r="K3" s="93"/>
      <c r="L3" s="93"/>
      <c r="M3" s="93"/>
    </row>
    <row r="4" spans="1:13" ht="15" customHeight="1" thickBot="1">
      <c r="A4" s="78"/>
      <c r="B4" s="576">
        <v>2014</v>
      </c>
      <c r="C4" s="577"/>
      <c r="D4" s="577"/>
      <c r="E4" s="578"/>
      <c r="F4" s="579">
        <v>2015</v>
      </c>
      <c r="G4" s="580"/>
      <c r="H4" s="580"/>
      <c r="I4" s="581"/>
      <c r="J4" s="582">
        <v>2016</v>
      </c>
      <c r="K4" s="583"/>
      <c r="L4" s="583"/>
      <c r="M4" s="583"/>
    </row>
    <row r="5" spans="1:13" ht="15" customHeight="1" thickBot="1">
      <c r="A5" s="79" t="s">
        <v>527</v>
      </c>
      <c r="B5" s="262" t="s">
        <v>510</v>
      </c>
      <c r="C5" s="262" t="s">
        <v>511</v>
      </c>
      <c r="D5" s="262" t="s">
        <v>513</v>
      </c>
      <c r="E5" s="263" t="s">
        <v>514</v>
      </c>
      <c r="F5" s="307" t="s">
        <v>510</v>
      </c>
      <c r="G5" s="307" t="s">
        <v>511</v>
      </c>
      <c r="H5" s="307" t="s">
        <v>513</v>
      </c>
      <c r="I5" s="310" t="s">
        <v>514</v>
      </c>
      <c r="J5" s="235" t="s">
        <v>510</v>
      </c>
      <c r="K5" s="235" t="s">
        <v>511</v>
      </c>
      <c r="L5" s="235" t="s">
        <v>513</v>
      </c>
      <c r="M5" s="496" t="s">
        <v>514</v>
      </c>
    </row>
    <row r="6" spans="1:13" ht="15" customHeight="1">
      <c r="A6" s="94" t="s">
        <v>537</v>
      </c>
      <c r="B6" s="76"/>
      <c r="C6" s="76"/>
      <c r="D6" s="76"/>
      <c r="E6" s="76"/>
      <c r="F6" s="165"/>
      <c r="G6" s="165"/>
      <c r="H6" s="165"/>
      <c r="I6" s="165"/>
      <c r="J6" s="329"/>
      <c r="K6" s="329"/>
      <c r="L6" s="329"/>
      <c r="M6" s="329"/>
    </row>
    <row r="7" spans="1:13" ht="15" customHeight="1">
      <c r="A7" s="95" t="s">
        <v>580</v>
      </c>
      <c r="B7" s="187">
        <v>1127.6206726043099</v>
      </c>
      <c r="C7" s="187">
        <v>1109.0900768598119</v>
      </c>
      <c r="D7" s="187">
        <v>1122.3757218580281</v>
      </c>
      <c r="E7" s="187">
        <v>1135.3249065983136</v>
      </c>
      <c r="F7" s="408">
        <v>1114.13833433339</v>
      </c>
      <c r="G7" s="408">
        <v>1120.8326742627664</v>
      </c>
      <c r="H7" s="408">
        <v>1164.9138237867819</v>
      </c>
      <c r="I7" s="408">
        <v>1172.1301968901494</v>
      </c>
      <c r="J7" s="409">
        <v>1147.0132141221691</v>
      </c>
      <c r="K7" s="409">
        <v>1164.9634992896761</v>
      </c>
      <c r="L7" s="409">
        <v>1145.1821062908657</v>
      </c>
      <c r="M7" s="409"/>
    </row>
    <row r="8" spans="1:13" ht="15" customHeight="1">
      <c r="A8" s="95" t="s">
        <v>577</v>
      </c>
      <c r="B8" s="187">
        <v>237.79024392999997</v>
      </c>
      <c r="C8" s="187">
        <v>238.96739819000004</v>
      </c>
      <c r="D8" s="187">
        <v>238.38155501999995</v>
      </c>
      <c r="E8" s="187">
        <v>243.91537529000004</v>
      </c>
      <c r="F8" s="408">
        <v>243.91976118999997</v>
      </c>
      <c r="G8" s="408">
        <v>253.00901185000004</v>
      </c>
      <c r="H8" s="408">
        <v>258.85840039999994</v>
      </c>
      <c r="I8" s="408">
        <v>256.12071408999998</v>
      </c>
      <c r="J8" s="409">
        <v>237.09050213</v>
      </c>
      <c r="K8" s="409">
        <v>240.91234926999999</v>
      </c>
      <c r="L8" s="409">
        <v>242.38834929799992</v>
      </c>
      <c r="M8" s="409"/>
    </row>
    <row r="9" spans="1:13" ht="15" customHeight="1">
      <c r="A9" s="95" t="s">
        <v>578</v>
      </c>
      <c r="B9" s="187">
        <v>283.43623908000001</v>
      </c>
      <c r="C9" s="187">
        <v>295.31914049000005</v>
      </c>
      <c r="D9" s="187">
        <v>290.61924770999997</v>
      </c>
      <c r="E9" s="187">
        <v>286.56915790999994</v>
      </c>
      <c r="F9" s="408">
        <v>288.12281311000004</v>
      </c>
      <c r="G9" s="408">
        <v>261.33040800000003</v>
      </c>
      <c r="H9" s="408">
        <v>284.51409479999973</v>
      </c>
      <c r="I9" s="408">
        <v>286.13161048000029</v>
      </c>
      <c r="J9" s="409">
        <v>499.88547747000001</v>
      </c>
      <c r="K9" s="409">
        <v>274.94003820600011</v>
      </c>
      <c r="L9" s="409">
        <v>279.03547681899977</v>
      </c>
      <c r="M9" s="409"/>
    </row>
    <row r="10" spans="1:13" ht="15" customHeight="1">
      <c r="A10" s="95" t="s">
        <v>579</v>
      </c>
      <c r="B10" s="187">
        <v>166.2203107</v>
      </c>
      <c r="C10" s="187">
        <v>0</v>
      </c>
      <c r="D10" s="187">
        <v>0</v>
      </c>
      <c r="E10" s="187">
        <v>0</v>
      </c>
      <c r="F10" s="408">
        <v>0</v>
      </c>
      <c r="G10" s="408">
        <v>0</v>
      </c>
      <c r="H10" s="408">
        <v>0</v>
      </c>
      <c r="I10" s="408">
        <v>0</v>
      </c>
      <c r="J10" s="409">
        <v>0</v>
      </c>
      <c r="K10" s="409">
        <v>0</v>
      </c>
      <c r="L10" s="409">
        <v>0</v>
      </c>
      <c r="M10" s="409"/>
    </row>
    <row r="11" spans="1:13" ht="15" customHeight="1">
      <c r="A11" s="95" t="s">
        <v>49</v>
      </c>
      <c r="B11" s="419">
        <v>-122.06145955499998</v>
      </c>
      <c r="C11" s="419">
        <v>-114.33196052700002</v>
      </c>
      <c r="D11" s="419">
        <v>-114.88482022200003</v>
      </c>
      <c r="E11" s="419">
        <v>-115.38939251400001</v>
      </c>
      <c r="F11" s="420">
        <v>-115.80551299999999</v>
      </c>
      <c r="G11" s="420">
        <v>-116.94068699999998</v>
      </c>
      <c r="H11" s="420">
        <v>-117.75422600000003</v>
      </c>
      <c r="I11" s="420">
        <v>-117.26578875000001</v>
      </c>
      <c r="J11" s="421">
        <v>-119.119185</v>
      </c>
      <c r="K11" s="421">
        <v>-120.16857937999993</v>
      </c>
      <c r="L11" s="421">
        <v>-120.9297315900001</v>
      </c>
      <c r="M11" s="421"/>
    </row>
    <row r="12" spans="1:13" ht="18" customHeight="1">
      <c r="A12" s="563" t="s">
        <v>385</v>
      </c>
      <c r="B12" s="410">
        <v>1693.0060067593099</v>
      </c>
      <c r="C12" s="410">
        <v>1529.0633877128121</v>
      </c>
      <c r="D12" s="410">
        <v>1536.5264936660274</v>
      </c>
      <c r="E12" s="410">
        <v>1550.4869497843138</v>
      </c>
      <c r="F12" s="411">
        <v>1530.3753956333903</v>
      </c>
      <c r="G12" s="411">
        <v>1518.2314071127662</v>
      </c>
      <c r="H12" s="411">
        <v>1590.5320929867817</v>
      </c>
      <c r="I12" s="411">
        <v>1597.1167327101493</v>
      </c>
      <c r="J12" s="412">
        <v>1764.8700087221691</v>
      </c>
      <c r="K12" s="412">
        <v>1560.6473073856764</v>
      </c>
      <c r="L12" s="412">
        <v>1545.6762008178657</v>
      </c>
      <c r="M12" s="412"/>
    </row>
    <row r="13" spans="1:13" ht="18" customHeight="1">
      <c r="A13" s="559" t="s">
        <v>386</v>
      </c>
      <c r="B13" s="187">
        <v>42.344342385750025</v>
      </c>
      <c r="C13" s="187">
        <v>35.177534611001988</v>
      </c>
      <c r="D13" s="187">
        <v>36.856111183487911</v>
      </c>
      <c r="E13" s="187">
        <v>39.726836522744009</v>
      </c>
      <c r="F13" s="408">
        <v>41.123554141170018</v>
      </c>
      <c r="G13" s="408">
        <v>37.352436033106017</v>
      </c>
      <c r="H13" s="408">
        <v>38.318592869971894</v>
      </c>
      <c r="I13" s="408">
        <v>43.572724058359995</v>
      </c>
      <c r="J13" s="409">
        <v>40.802659040229003</v>
      </c>
      <c r="K13" s="409">
        <v>39.614782611906207</v>
      </c>
      <c r="L13" s="409">
        <v>48.221118470535316</v>
      </c>
      <c r="M13" s="409"/>
    </row>
    <row r="14" spans="1:13" ht="15" customHeight="1">
      <c r="A14" s="95"/>
      <c r="B14" s="187"/>
      <c r="C14" s="187"/>
      <c r="D14" s="187"/>
      <c r="E14" s="187"/>
      <c r="F14" s="408"/>
      <c r="G14" s="408"/>
      <c r="H14" s="408"/>
      <c r="I14" s="408"/>
      <c r="J14" s="409"/>
      <c r="K14" s="409"/>
      <c r="L14" s="409"/>
      <c r="M14" s="409"/>
    </row>
    <row r="15" spans="1:13" ht="15" customHeight="1">
      <c r="A15" s="100" t="s">
        <v>66</v>
      </c>
      <c r="B15" s="187"/>
      <c r="C15" s="187"/>
      <c r="D15" s="187"/>
      <c r="E15" s="187"/>
      <c r="F15" s="408"/>
      <c r="G15" s="408"/>
      <c r="H15" s="408"/>
      <c r="I15" s="408"/>
      <c r="J15" s="409"/>
      <c r="K15" s="409"/>
      <c r="L15" s="409"/>
      <c r="M15" s="409"/>
    </row>
    <row r="16" spans="1:13" ht="15" customHeight="1">
      <c r="A16" s="95" t="s">
        <v>580</v>
      </c>
      <c r="B16" s="187">
        <v>173.58338878015701</v>
      </c>
      <c r="C16" s="187">
        <v>176.95194761388797</v>
      </c>
      <c r="D16" s="187">
        <v>196.94158999415697</v>
      </c>
      <c r="E16" s="187">
        <v>180.6490346568221</v>
      </c>
      <c r="F16" s="408">
        <v>167.280387989676</v>
      </c>
      <c r="G16" s="408">
        <v>178.454514477445</v>
      </c>
      <c r="H16" s="408">
        <v>239.23927621322588</v>
      </c>
      <c r="I16" s="408">
        <v>195.83622587521313</v>
      </c>
      <c r="J16" s="409">
        <v>210.016479639181</v>
      </c>
      <c r="K16" s="409">
        <v>216.68555267041205</v>
      </c>
      <c r="L16" s="409">
        <v>202.07824868591899</v>
      </c>
      <c r="M16" s="409"/>
    </row>
    <row r="17" spans="1:13" ht="15" customHeight="1">
      <c r="A17" s="95" t="s">
        <v>577</v>
      </c>
      <c r="B17" s="187">
        <v>157.72938601999999</v>
      </c>
      <c r="C17" s="187">
        <v>160.29240547000006</v>
      </c>
      <c r="D17" s="187">
        <v>167.41333848999994</v>
      </c>
      <c r="E17" s="187">
        <v>164.51489659000009</v>
      </c>
      <c r="F17" s="408">
        <v>158.78373486000004</v>
      </c>
      <c r="G17" s="408">
        <v>159.71013864999998</v>
      </c>
      <c r="H17" s="408">
        <v>181.81778542000001</v>
      </c>
      <c r="I17" s="408">
        <v>169.78651193000007</v>
      </c>
      <c r="J17" s="409">
        <v>153.59384913999997</v>
      </c>
      <c r="K17" s="409">
        <v>159.969522832</v>
      </c>
      <c r="L17" s="409">
        <v>177.98345152900004</v>
      </c>
      <c r="M17" s="409"/>
    </row>
    <row r="18" spans="1:13" ht="15" customHeight="1">
      <c r="A18" s="95" t="s">
        <v>578</v>
      </c>
      <c r="B18" s="187">
        <v>139.53899512000001</v>
      </c>
      <c r="C18" s="187">
        <v>145.08027458999996</v>
      </c>
      <c r="D18" s="187">
        <v>152.62141402000009</v>
      </c>
      <c r="E18" s="187">
        <v>122.09984392999996</v>
      </c>
      <c r="F18" s="408">
        <v>138.29368065999998</v>
      </c>
      <c r="G18" s="408">
        <v>148.84063120000005</v>
      </c>
      <c r="H18" s="408">
        <v>172.63552956000001</v>
      </c>
      <c r="I18" s="408">
        <v>147.32105329000001</v>
      </c>
      <c r="J18" s="409">
        <v>374.57042706000004</v>
      </c>
      <c r="K18" s="409">
        <v>142.15336087200001</v>
      </c>
      <c r="L18" s="409">
        <v>163.40700670499996</v>
      </c>
      <c r="M18" s="409"/>
    </row>
    <row r="19" spans="1:13" ht="15" customHeight="1">
      <c r="A19" s="95" t="s">
        <v>579</v>
      </c>
      <c r="B19" s="187">
        <v>48.839842200000007</v>
      </c>
      <c r="C19" s="187">
        <v>0</v>
      </c>
      <c r="D19" s="187">
        <v>0</v>
      </c>
      <c r="E19" s="187">
        <v>0</v>
      </c>
      <c r="F19" s="408">
        <v>0</v>
      </c>
      <c r="G19" s="408">
        <v>0</v>
      </c>
      <c r="H19" s="408">
        <v>0</v>
      </c>
      <c r="I19" s="408">
        <v>0</v>
      </c>
      <c r="J19" s="409">
        <v>0</v>
      </c>
      <c r="K19" s="409">
        <v>0</v>
      </c>
      <c r="L19" s="409">
        <v>0</v>
      </c>
      <c r="M19" s="409"/>
    </row>
    <row r="20" spans="1:13" ht="15" customHeight="1">
      <c r="A20" s="95" t="s">
        <v>49</v>
      </c>
      <c r="B20" s="419">
        <v>-8.3694468355549958</v>
      </c>
      <c r="C20" s="419">
        <v>-13.355370910526986</v>
      </c>
      <c r="D20" s="419">
        <v>-4.554461153561963</v>
      </c>
      <c r="E20" s="419">
        <v>-9.2322496094960727</v>
      </c>
      <c r="F20" s="420">
        <v>-7.5288638800000047</v>
      </c>
      <c r="G20" s="420">
        <v>-6.8571588844999782</v>
      </c>
      <c r="H20" s="420">
        <v>-5.537743082500036</v>
      </c>
      <c r="I20" s="420">
        <v>-6.1838431185999898</v>
      </c>
      <c r="J20" s="421">
        <v>-5.9604752100000029</v>
      </c>
      <c r="K20" s="421">
        <v>-6.5484901100000208</v>
      </c>
      <c r="L20" s="421">
        <v>-3.5814864200000667</v>
      </c>
      <c r="M20" s="421"/>
    </row>
    <row r="21" spans="1:13" ht="18" customHeight="1">
      <c r="A21" s="101" t="s">
        <v>478</v>
      </c>
      <c r="B21" s="410">
        <v>511.32216528460208</v>
      </c>
      <c r="C21" s="410">
        <v>468.98660636336081</v>
      </c>
      <c r="D21" s="410">
        <v>512.46199035059522</v>
      </c>
      <c r="E21" s="410">
        <v>458.10254576732586</v>
      </c>
      <c r="F21" s="411">
        <v>456.82893962967603</v>
      </c>
      <c r="G21" s="411">
        <v>480.14812544294489</v>
      </c>
      <c r="H21" s="411">
        <v>588.15484811072611</v>
      </c>
      <c r="I21" s="411">
        <v>506.75994797661315</v>
      </c>
      <c r="J21" s="412">
        <v>732.22028062918105</v>
      </c>
      <c r="K21" s="412">
        <v>512.25994626441195</v>
      </c>
      <c r="L21" s="412">
        <v>539.88722049991907</v>
      </c>
      <c r="M21" s="412"/>
    </row>
    <row r="22" spans="1:13" ht="15" customHeight="1">
      <c r="A22" s="83" t="s">
        <v>509</v>
      </c>
      <c r="B22" s="187">
        <v>1209.8881326699998</v>
      </c>
      <c r="C22" s="187">
        <v>-6.5617248699995798</v>
      </c>
      <c r="D22" s="187">
        <v>-46.716898310000033</v>
      </c>
      <c r="E22" s="187">
        <v>-12.301171430000068</v>
      </c>
      <c r="F22" s="408">
        <v>1.6543528400000003</v>
      </c>
      <c r="G22" s="408">
        <v>-3.1538940000000006</v>
      </c>
      <c r="H22" s="408">
        <v>-5.9805239899999991</v>
      </c>
      <c r="I22" s="408">
        <v>-6.0308903600000026</v>
      </c>
      <c r="J22" s="409">
        <v>-1.3976768599999998</v>
      </c>
      <c r="K22" s="409">
        <v>-13.7143996</v>
      </c>
      <c r="L22" s="409">
        <v>-5.8694122594234379</v>
      </c>
      <c r="M22" s="409"/>
    </row>
    <row r="23" spans="1:13" ht="18" customHeight="1">
      <c r="A23" s="98" t="s">
        <v>412</v>
      </c>
      <c r="B23" s="410">
        <v>1721.2102979546019</v>
      </c>
      <c r="C23" s="410">
        <v>462.42488149336054</v>
      </c>
      <c r="D23" s="410">
        <v>465.74509204059586</v>
      </c>
      <c r="E23" s="410">
        <v>445.80137433732534</v>
      </c>
      <c r="F23" s="411">
        <v>458.48329246967603</v>
      </c>
      <c r="G23" s="411">
        <v>476.99423144294508</v>
      </c>
      <c r="H23" s="411">
        <v>582.17432412072571</v>
      </c>
      <c r="I23" s="411">
        <v>500.72905761661355</v>
      </c>
      <c r="J23" s="412">
        <v>730.822603769181</v>
      </c>
      <c r="K23" s="412">
        <v>498.54554666441197</v>
      </c>
      <c r="L23" s="412">
        <v>534.0178082404957</v>
      </c>
      <c r="M23" s="412"/>
    </row>
    <row r="24" spans="1:13" ht="15" customHeight="1">
      <c r="A24" s="83" t="s">
        <v>143</v>
      </c>
      <c r="B24" s="187">
        <v>-138.15425997644397</v>
      </c>
      <c r="C24" s="187">
        <v>-132.44718027671004</v>
      </c>
      <c r="D24" s="187">
        <v>-132.75741900672102</v>
      </c>
      <c r="E24" s="187">
        <v>-135.38400695120703</v>
      </c>
      <c r="F24" s="408">
        <v>-132.79709110239901</v>
      </c>
      <c r="G24" s="408">
        <v>-134.66397129480401</v>
      </c>
      <c r="H24" s="408">
        <v>-163.716797020169</v>
      </c>
      <c r="I24" s="408">
        <v>-165.05559684413993</v>
      </c>
      <c r="J24" s="409">
        <v>-160.87891800748497</v>
      </c>
      <c r="K24" s="409">
        <v>-177.13317864428183</v>
      </c>
      <c r="L24" s="409">
        <v>-170.53034850026376</v>
      </c>
      <c r="M24" s="409"/>
    </row>
    <row r="25" spans="1:13" ht="15" customHeight="1">
      <c r="A25" s="89" t="s">
        <v>593</v>
      </c>
      <c r="B25" s="419">
        <v>0</v>
      </c>
      <c r="C25" s="419">
        <v>0</v>
      </c>
      <c r="D25" s="419">
        <v>0</v>
      </c>
      <c r="E25" s="419">
        <v>0</v>
      </c>
      <c r="F25" s="420">
        <v>0</v>
      </c>
      <c r="G25" s="420">
        <v>0</v>
      </c>
      <c r="H25" s="420">
        <v>0</v>
      </c>
      <c r="I25" s="420">
        <v>0</v>
      </c>
      <c r="J25" s="421">
        <v>-128.41587200000001</v>
      </c>
      <c r="K25" s="421">
        <v>1.39946664</v>
      </c>
      <c r="L25" s="421">
        <v>0.63031131999998991</v>
      </c>
      <c r="M25" s="421"/>
    </row>
    <row r="26" spans="1:13" ht="18" customHeight="1">
      <c r="A26" s="96" t="s">
        <v>534</v>
      </c>
      <c r="B26" s="410">
        <v>1583.056037978158</v>
      </c>
      <c r="C26" s="410">
        <v>329.97770121665098</v>
      </c>
      <c r="D26" s="410">
        <v>332.98767303387399</v>
      </c>
      <c r="E26" s="410">
        <v>310.41747944611916</v>
      </c>
      <c r="F26" s="411">
        <v>325.68620136727702</v>
      </c>
      <c r="G26" s="411">
        <v>342.33026014814106</v>
      </c>
      <c r="H26" s="411">
        <v>418.45752710055649</v>
      </c>
      <c r="I26" s="411">
        <v>335.67346077247385</v>
      </c>
      <c r="J26" s="412">
        <v>441.52781376169611</v>
      </c>
      <c r="K26" s="412">
        <v>322.81183466013016</v>
      </c>
      <c r="L26" s="412">
        <v>364.11777106023192</v>
      </c>
      <c r="M26" s="412"/>
    </row>
    <row r="27" spans="1:13" ht="15" customHeight="1">
      <c r="A27" s="95" t="s">
        <v>1</v>
      </c>
      <c r="B27" s="187"/>
      <c r="C27" s="187"/>
      <c r="D27" s="187"/>
      <c r="E27" s="187"/>
      <c r="F27" s="408"/>
      <c r="G27" s="408"/>
      <c r="H27" s="408"/>
      <c r="I27" s="408"/>
      <c r="J27" s="409"/>
      <c r="K27" s="409"/>
      <c r="L27" s="409"/>
      <c r="M27" s="409"/>
    </row>
    <row r="28" spans="1:13" ht="15" customHeight="1">
      <c r="A28" s="95" t="s">
        <v>580</v>
      </c>
      <c r="B28" s="187">
        <v>160.28818584371302</v>
      </c>
      <c r="C28" s="187">
        <v>159.78565296717792</v>
      </c>
      <c r="D28" s="187">
        <v>140.81280282743597</v>
      </c>
      <c r="E28" s="187">
        <v>150.53635236561519</v>
      </c>
      <c r="F28" s="408">
        <v>157.66232431727701</v>
      </c>
      <c r="G28" s="408">
        <v>167.96819809264099</v>
      </c>
      <c r="H28" s="408">
        <v>227.31675392305687</v>
      </c>
      <c r="I28" s="408">
        <v>182.20489120107322</v>
      </c>
      <c r="J28" s="409">
        <v>197.83665006169602</v>
      </c>
      <c r="K28" s="409">
        <v>201.91198705013025</v>
      </c>
      <c r="L28" s="409">
        <v>187.38900620523179</v>
      </c>
      <c r="M28" s="409"/>
    </row>
    <row r="29" spans="1:13" ht="15" customHeight="1">
      <c r="A29" s="95" t="s">
        <v>577</v>
      </c>
      <c r="B29" s="187">
        <v>101.82164270999999</v>
      </c>
      <c r="C29" s="187">
        <v>103.1423391400001</v>
      </c>
      <c r="D29" s="187">
        <v>109.71371035999994</v>
      </c>
      <c r="E29" s="187">
        <v>106.65010846000001</v>
      </c>
      <c r="F29" s="408">
        <v>102.84621524000005</v>
      </c>
      <c r="G29" s="408">
        <v>100.20200353999994</v>
      </c>
      <c r="H29" s="408">
        <v>99.727907020000004</v>
      </c>
      <c r="I29" s="408">
        <v>85.670041720000086</v>
      </c>
      <c r="J29" s="409">
        <v>70.62051560999997</v>
      </c>
      <c r="K29" s="409">
        <v>76.608387780000001</v>
      </c>
      <c r="L29" s="409">
        <v>94.759540189000035</v>
      </c>
      <c r="M29" s="409"/>
    </row>
    <row r="30" spans="1:13" ht="15" customHeight="1">
      <c r="A30" s="95" t="s">
        <v>578</v>
      </c>
      <c r="B30" s="187">
        <v>77.337334980000023</v>
      </c>
      <c r="C30" s="187">
        <v>81.348527249999918</v>
      </c>
      <c r="D30" s="187">
        <v>87.483010390000089</v>
      </c>
      <c r="E30" s="187">
        <v>63.059732439999976</v>
      </c>
      <c r="F30" s="408">
        <v>72.844974999999963</v>
      </c>
      <c r="G30" s="408">
        <v>81.080869360000079</v>
      </c>
      <c r="H30" s="408">
        <v>97.018965540000011</v>
      </c>
      <c r="I30" s="408">
        <v>74.053079400000001</v>
      </c>
      <c r="J30" s="409">
        <v>179.08061448000004</v>
      </c>
      <c r="K30" s="409">
        <v>50.847006450000009</v>
      </c>
      <c r="L30" s="409">
        <v>87.578569655999956</v>
      </c>
      <c r="M30" s="409"/>
    </row>
    <row r="31" spans="1:13" ht="15" customHeight="1">
      <c r="A31" s="95" t="s">
        <v>579</v>
      </c>
      <c r="B31" s="187">
        <v>40.606111800000008</v>
      </c>
      <c r="C31" s="187">
        <v>0</v>
      </c>
      <c r="D31" s="187">
        <v>0</v>
      </c>
      <c r="E31" s="187">
        <v>0</v>
      </c>
      <c r="F31" s="408">
        <v>0</v>
      </c>
      <c r="G31" s="408">
        <v>0</v>
      </c>
      <c r="H31" s="408">
        <v>0</v>
      </c>
      <c r="I31" s="408">
        <v>0</v>
      </c>
      <c r="J31" s="409">
        <v>0</v>
      </c>
      <c r="K31" s="409">
        <v>0</v>
      </c>
      <c r="L31" s="409">
        <v>0</v>
      </c>
      <c r="M31" s="409"/>
    </row>
    <row r="32" spans="1:13" ht="15" customHeight="1">
      <c r="A32" s="108" t="s">
        <v>49</v>
      </c>
      <c r="B32" s="419">
        <v>1203.0027626444448</v>
      </c>
      <c r="C32" s="419">
        <v>-14.312618740526805</v>
      </c>
      <c r="D32" s="419">
        <v>-5.0555699435619266</v>
      </c>
      <c r="E32" s="419">
        <v>-9.8882066194962785</v>
      </c>
      <c r="F32" s="420">
        <v>-7.6673131900000033</v>
      </c>
      <c r="G32" s="420">
        <v>-6.9208108444999779</v>
      </c>
      <c r="H32" s="420">
        <v>-5.6060993825000374</v>
      </c>
      <c r="I32" s="420">
        <v>-6.2545515485999896</v>
      </c>
      <c r="J32" s="421">
        <v>-6.0099663900000033</v>
      </c>
      <c r="K32" s="421">
        <v>-6.5555466200000208</v>
      </c>
      <c r="L32" s="421">
        <v>-5.609344990000066</v>
      </c>
      <c r="M32" s="421"/>
    </row>
    <row r="33" spans="1:13" ht="15" customHeight="1">
      <c r="A33" s="95"/>
      <c r="B33" s="187"/>
      <c r="C33" s="187"/>
      <c r="D33" s="187"/>
      <c r="E33" s="187"/>
      <c r="F33" s="408"/>
      <c r="G33" s="408"/>
      <c r="H33" s="408"/>
      <c r="I33" s="408"/>
      <c r="J33" s="409"/>
      <c r="K33" s="409"/>
      <c r="L33" s="409"/>
      <c r="M33" s="409"/>
    </row>
    <row r="34" spans="1:13" ht="15" customHeight="1">
      <c r="A34" s="83" t="s">
        <v>479</v>
      </c>
      <c r="B34" s="186">
        <v>30.202029008943459</v>
      </c>
      <c r="C34" s="186">
        <v>30.671495382861501</v>
      </c>
      <c r="D34" s="186">
        <v>33.3519787952307</v>
      </c>
      <c r="E34" s="186">
        <v>29.545720835061008</v>
      </c>
      <c r="F34" s="188">
        <v>29.85077654366</v>
      </c>
      <c r="G34" s="188">
        <v>31.6254902377528</v>
      </c>
      <c r="H34" s="188">
        <v>36.978496108573275</v>
      </c>
      <c r="I34" s="188">
        <v>31.729674957239446</v>
      </c>
      <c r="J34" s="328">
        <v>41.488623921902075</v>
      </c>
      <c r="K34" s="328">
        <v>32.823556215435111</v>
      </c>
      <c r="L34" s="328">
        <v>34.928869333321416</v>
      </c>
      <c r="M34" s="328"/>
    </row>
    <row r="35" spans="1:13" ht="15" customHeight="1">
      <c r="A35" s="95" t="s">
        <v>62</v>
      </c>
      <c r="B35" s="186">
        <v>101.66592977713526</v>
      </c>
      <c r="C35" s="186">
        <v>30.242361775796635</v>
      </c>
      <c r="D35" s="186">
        <v>30.31155622506488</v>
      </c>
      <c r="E35" s="186">
        <v>28.752346119349166</v>
      </c>
      <c r="F35" s="188">
        <v>29.958877656937201</v>
      </c>
      <c r="G35" s="188">
        <v>31.417755502110783</v>
      </c>
      <c r="H35" s="188">
        <v>36.602488355169825</v>
      </c>
      <c r="I35" s="188">
        <v>31.352063838622851</v>
      </c>
      <c r="J35" s="328">
        <v>41.409429598632222</v>
      </c>
      <c r="K35" s="328">
        <v>31.944792670648454</v>
      </c>
      <c r="L35" s="328">
        <v>34.549138296748708</v>
      </c>
      <c r="M35" s="328"/>
    </row>
    <row r="36" spans="1:13" ht="15" customHeight="1">
      <c r="A36" s="95" t="s">
        <v>63</v>
      </c>
      <c r="B36" s="186">
        <v>93.505636226795559</v>
      </c>
      <c r="C36" s="186">
        <v>21.580380765655168</v>
      </c>
      <c r="D36" s="186">
        <v>21.671456652816474</v>
      </c>
      <c r="E36" s="186">
        <v>20.02064444910684</v>
      </c>
      <c r="F36" s="188">
        <v>21.28145828118743</v>
      </c>
      <c r="G36" s="188">
        <v>22.547963277821626</v>
      </c>
      <c r="H36" s="188">
        <v>26.309279073693869</v>
      </c>
      <c r="I36" s="188">
        <v>21.017465655304303</v>
      </c>
      <c r="J36" s="328">
        <v>25.017582687655192</v>
      </c>
      <c r="K36" s="328">
        <v>20.684483491717902</v>
      </c>
      <c r="L36" s="328">
        <v>23.557182990044474</v>
      </c>
      <c r="M36" s="328"/>
    </row>
    <row r="37" spans="1:13" ht="15" customHeight="1">
      <c r="A37" s="95"/>
      <c r="B37" s="187"/>
      <c r="C37" s="187"/>
      <c r="D37" s="187"/>
      <c r="E37" s="187"/>
      <c r="F37" s="408"/>
      <c r="G37" s="408"/>
      <c r="H37" s="408"/>
      <c r="I37" s="408"/>
      <c r="J37" s="409"/>
      <c r="K37" s="409"/>
      <c r="L37" s="409"/>
      <c r="M37" s="409"/>
    </row>
    <row r="38" spans="1:13" ht="15" customHeight="1">
      <c r="A38" s="95" t="s">
        <v>64</v>
      </c>
      <c r="B38" s="187">
        <v>140.14102249999999</v>
      </c>
      <c r="C38" s="187">
        <v>76.736883199999994</v>
      </c>
      <c r="D38" s="187">
        <v>111.16347990000008</v>
      </c>
      <c r="E38" s="187">
        <v>79.336181699999884</v>
      </c>
      <c r="F38" s="408">
        <v>74.524927899999994</v>
      </c>
      <c r="G38" s="408">
        <v>1537.3647120000001</v>
      </c>
      <c r="H38" s="408">
        <v>83.129480300000068</v>
      </c>
      <c r="I38" s="408">
        <v>89.882313700000168</v>
      </c>
      <c r="J38" s="409">
        <v>95.496741900000004</v>
      </c>
      <c r="K38" s="409">
        <v>93.430162811999978</v>
      </c>
      <c r="L38" s="409">
        <v>87.437349635000004</v>
      </c>
      <c r="M38" s="409"/>
    </row>
    <row r="39" spans="1:13" ht="15" customHeight="1">
      <c r="A39" s="95" t="s">
        <v>0</v>
      </c>
      <c r="B39" s="187">
        <v>0</v>
      </c>
      <c r="C39" s="187">
        <v>0</v>
      </c>
      <c r="D39" s="187">
        <v>0</v>
      </c>
      <c r="E39" s="187">
        <v>0</v>
      </c>
      <c r="F39" s="408">
        <v>0</v>
      </c>
      <c r="G39" s="408">
        <v>0</v>
      </c>
      <c r="H39" s="408">
        <v>0</v>
      </c>
      <c r="I39" s="408">
        <v>0</v>
      </c>
      <c r="J39" s="409">
        <v>0</v>
      </c>
      <c r="K39" s="409">
        <v>0</v>
      </c>
      <c r="L39" s="409">
        <v>0</v>
      </c>
      <c r="M39" s="409"/>
    </row>
    <row r="40" spans="1:13" ht="15" customHeight="1">
      <c r="A40" s="99"/>
      <c r="B40" s="419"/>
      <c r="C40" s="419"/>
      <c r="D40" s="419"/>
      <c r="E40" s="419"/>
      <c r="F40" s="420"/>
      <c r="G40" s="420"/>
      <c r="H40" s="420"/>
      <c r="I40" s="420"/>
      <c r="J40" s="421"/>
      <c r="K40" s="421"/>
      <c r="L40" s="421"/>
      <c r="M40" s="421"/>
    </row>
    <row r="41" spans="1:13" ht="15" customHeight="1">
      <c r="A41" s="505" t="s">
        <v>132</v>
      </c>
      <c r="B41" s="413">
        <v>920</v>
      </c>
      <c r="C41" s="413">
        <v>915</v>
      </c>
      <c r="D41" s="413">
        <v>913.72400000000005</v>
      </c>
      <c r="E41" s="413">
        <v>912.39099999999996</v>
      </c>
      <c r="F41" s="414">
        <v>905.178</v>
      </c>
      <c r="G41" s="414">
        <v>901.69500000000005</v>
      </c>
      <c r="H41" s="414">
        <v>900.10199999999998</v>
      </c>
      <c r="I41" s="414">
        <v>897.3</v>
      </c>
      <c r="J41" s="415">
        <v>877.60299999999995</v>
      </c>
      <c r="K41" s="415">
        <v>870.36699999999996</v>
      </c>
      <c r="L41" s="415">
        <v>864.83299999999997</v>
      </c>
      <c r="M41" s="415"/>
    </row>
    <row r="42" spans="1:13" ht="15">
      <c r="A42" s="3"/>
    </row>
    <row r="43" spans="1:13">
      <c r="A43" s="5"/>
    </row>
    <row r="44" spans="1:13">
      <c r="A44" s="5"/>
    </row>
    <row r="45" spans="1:13">
      <c r="A45" s="4"/>
    </row>
    <row r="46" spans="1:13">
      <c r="A46" s="1"/>
    </row>
    <row r="47" spans="1:13" ht="15">
      <c r="A47" s="2"/>
    </row>
  </sheetData>
  <mergeCells count="3">
    <mergeCell ref="B4:E4"/>
    <mergeCell ref="F4:I4"/>
    <mergeCell ref="J4:M4"/>
  </mergeCells>
  <phoneticPr fontId="16" type="noConversion"/>
  <pageMargins left="0.35" right="0.28000000000000003" top="0.984251969" bottom="0.984251969" header="0.5" footer="0.5"/>
  <pageSetup paperSize="9"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7" enableFormatConditionsCalculation="0">
    <tabColor indexed="24"/>
    <pageSetUpPr fitToPage="1"/>
  </sheetPr>
  <dimension ref="A1:M35"/>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3" ht="15" customHeight="1"/>
    <row r="2" spans="1:13" ht="15" customHeight="1"/>
    <row r="3" spans="1:13" ht="15" customHeight="1" thickBot="1">
      <c r="A3" s="92" t="s">
        <v>655</v>
      </c>
      <c r="B3" s="93"/>
      <c r="C3" s="93"/>
      <c r="D3" s="93"/>
      <c r="E3" s="93"/>
      <c r="F3" s="93"/>
      <c r="G3" s="93"/>
      <c r="H3" s="93"/>
      <c r="I3" s="93"/>
      <c r="J3" s="93"/>
      <c r="K3" s="93"/>
      <c r="L3" s="93"/>
      <c r="M3" s="93"/>
    </row>
    <row r="4" spans="1:13" ht="15" customHeight="1" thickBot="1">
      <c r="A4" s="78"/>
      <c r="B4" s="576">
        <v>2014</v>
      </c>
      <c r="C4" s="577"/>
      <c r="D4" s="577"/>
      <c r="E4" s="578"/>
      <c r="F4" s="579">
        <v>2015</v>
      </c>
      <c r="G4" s="580"/>
      <c r="H4" s="580"/>
      <c r="I4" s="581"/>
      <c r="J4" s="582">
        <v>2016</v>
      </c>
      <c r="K4" s="583"/>
      <c r="L4" s="583"/>
      <c r="M4" s="583"/>
    </row>
    <row r="5" spans="1:13" ht="15" customHeight="1" thickBot="1">
      <c r="A5" s="79" t="s">
        <v>527</v>
      </c>
      <c r="B5" s="262" t="s">
        <v>510</v>
      </c>
      <c r="C5" s="262" t="s">
        <v>511</v>
      </c>
      <c r="D5" s="262" t="s">
        <v>513</v>
      </c>
      <c r="E5" s="263" t="s">
        <v>514</v>
      </c>
      <c r="F5" s="308" t="s">
        <v>510</v>
      </c>
      <c r="G5" s="308" t="s">
        <v>511</v>
      </c>
      <c r="H5" s="308" t="s">
        <v>513</v>
      </c>
      <c r="I5" s="394" t="s">
        <v>514</v>
      </c>
      <c r="J5" s="235" t="s">
        <v>510</v>
      </c>
      <c r="K5" s="235" t="s">
        <v>511</v>
      </c>
      <c r="L5" s="235" t="s">
        <v>513</v>
      </c>
      <c r="M5" s="392" t="s">
        <v>514</v>
      </c>
    </row>
    <row r="6" spans="1:13" ht="15" customHeight="1">
      <c r="A6" s="94" t="s">
        <v>537</v>
      </c>
      <c r="B6" s="76"/>
      <c r="C6" s="76"/>
      <c r="D6" s="76"/>
      <c r="E6" s="76"/>
      <c r="F6" s="165"/>
      <c r="G6" s="165"/>
      <c r="H6" s="165"/>
      <c r="I6" s="165"/>
      <c r="J6" s="329"/>
      <c r="K6" s="329"/>
      <c r="L6" s="329"/>
      <c r="M6" s="329"/>
    </row>
    <row r="7" spans="1:13" ht="15" customHeight="1">
      <c r="A7" s="95" t="s">
        <v>599</v>
      </c>
      <c r="B7" s="187">
        <v>630.90137976026608</v>
      </c>
      <c r="C7" s="187">
        <v>614.07188208462219</v>
      </c>
      <c r="D7" s="187">
        <v>610.89630259415583</v>
      </c>
      <c r="E7" s="187">
        <v>645.31297894366003</v>
      </c>
      <c r="F7" s="408">
        <v>613.42324916631208</v>
      </c>
      <c r="G7" s="408">
        <v>663.34888332787898</v>
      </c>
      <c r="H7" s="408">
        <v>688.11381781848081</v>
      </c>
      <c r="I7" s="408">
        <v>769.50237385326136</v>
      </c>
      <c r="J7" s="409">
        <v>738.97461633132616</v>
      </c>
      <c r="K7" s="409">
        <v>786.8025276621529</v>
      </c>
      <c r="L7" s="409">
        <v>790.74413011673096</v>
      </c>
      <c r="M7" s="409"/>
    </row>
    <row r="8" spans="1:13" ht="15" customHeight="1">
      <c r="A8" s="95" t="s">
        <v>645</v>
      </c>
      <c r="B8" s="187">
        <v>472.78481510930004</v>
      </c>
      <c r="C8" s="187">
        <v>503.1477051727</v>
      </c>
      <c r="D8" s="187">
        <v>585.54416406609994</v>
      </c>
      <c r="E8" s="187">
        <v>642.97996577250001</v>
      </c>
      <c r="F8" s="408">
        <v>717.01442466049991</v>
      </c>
      <c r="G8" s="408">
        <v>668.20007159590011</v>
      </c>
      <c r="H8" s="408">
        <v>680.41838884669983</v>
      </c>
      <c r="I8" s="408">
        <v>610.4742877609001</v>
      </c>
      <c r="J8" s="409">
        <v>703.49116273540005</v>
      </c>
      <c r="K8" s="409">
        <v>730.0040786476369</v>
      </c>
      <c r="L8" s="409">
        <v>906.37590261965897</v>
      </c>
      <c r="M8" s="409"/>
    </row>
    <row r="9" spans="1:13" s="405" customFormat="1" ht="15" customHeight="1">
      <c r="A9" s="95" t="s">
        <v>649</v>
      </c>
      <c r="B9" s="187">
        <v>106.90671594647502</v>
      </c>
      <c r="C9" s="187">
        <v>126.01413151522898</v>
      </c>
      <c r="D9" s="187">
        <v>127.43657998945599</v>
      </c>
      <c r="E9" s="187">
        <v>134.696465357432</v>
      </c>
      <c r="F9" s="408">
        <v>128.07083833179999</v>
      </c>
      <c r="G9" s="408">
        <v>128.11530170488803</v>
      </c>
      <c r="H9" s="408">
        <v>138.13067374454994</v>
      </c>
      <c r="I9" s="408">
        <v>148.71324207892604</v>
      </c>
      <c r="J9" s="409">
        <v>219.600173860323</v>
      </c>
      <c r="K9" s="409">
        <v>297.73747841328179</v>
      </c>
      <c r="L9" s="409">
        <v>280.74221761814761</v>
      </c>
      <c r="M9" s="409"/>
    </row>
    <row r="10" spans="1:13" ht="15" customHeight="1">
      <c r="A10" s="95" t="s">
        <v>49</v>
      </c>
      <c r="B10" s="419">
        <v>126.67633074796605</v>
      </c>
      <c r="C10" s="419">
        <v>132.58658112888173</v>
      </c>
      <c r="D10" s="419">
        <v>189.77558117296797</v>
      </c>
      <c r="E10" s="419">
        <v>203.9345645272177</v>
      </c>
      <c r="F10" s="420">
        <v>158.30442872671702</v>
      </c>
      <c r="G10" s="420">
        <v>169.38331865083407</v>
      </c>
      <c r="H10" s="420">
        <v>200.45557365200904</v>
      </c>
      <c r="I10" s="420">
        <v>182.99249749850304</v>
      </c>
      <c r="J10" s="421">
        <v>172.80048780997689</v>
      </c>
      <c r="K10" s="421">
        <v>208.92468295421213</v>
      </c>
      <c r="L10" s="421">
        <v>190.41182786511308</v>
      </c>
      <c r="M10" s="421"/>
    </row>
    <row r="11" spans="1:13" ht="18" customHeight="1">
      <c r="A11" s="563" t="s">
        <v>385</v>
      </c>
      <c r="B11" s="422">
        <v>1337.2692415640072</v>
      </c>
      <c r="C11" s="422">
        <v>1375.8202999014329</v>
      </c>
      <c r="D11" s="422">
        <v>1513.6526278226797</v>
      </c>
      <c r="E11" s="422">
        <v>1626.9239746008097</v>
      </c>
      <c r="F11" s="423">
        <v>1616.812940885329</v>
      </c>
      <c r="G11" s="423">
        <v>1629.0475752795012</v>
      </c>
      <c r="H11" s="423">
        <v>1707.1184540617396</v>
      </c>
      <c r="I11" s="423">
        <v>1711.6824011915905</v>
      </c>
      <c r="J11" s="424">
        <v>1834.8664407370261</v>
      </c>
      <c r="K11" s="424">
        <v>2023.4687676772837</v>
      </c>
      <c r="L11" s="424">
        <v>2168.2740782196506</v>
      </c>
      <c r="M11" s="424"/>
    </row>
    <row r="12" spans="1:13" ht="18" customHeight="1">
      <c r="A12" s="559" t="s">
        <v>386</v>
      </c>
      <c r="B12" s="187">
        <v>684.08003177946603</v>
      </c>
      <c r="C12" s="187">
        <v>675.93086940360399</v>
      </c>
      <c r="D12" s="187">
        <v>691.25894986946014</v>
      </c>
      <c r="E12" s="187">
        <v>727.48004506527013</v>
      </c>
      <c r="F12" s="408">
        <v>709.71787839789295</v>
      </c>
      <c r="G12" s="408">
        <v>751.292555588097</v>
      </c>
      <c r="H12" s="408">
        <v>832.07236764311983</v>
      </c>
      <c r="I12" s="408">
        <v>891.77018661824059</v>
      </c>
      <c r="J12" s="409">
        <v>887.58721190362894</v>
      </c>
      <c r="K12" s="409">
        <v>917.53676152691128</v>
      </c>
      <c r="L12" s="409">
        <v>964.2549229317799</v>
      </c>
      <c r="M12" s="409"/>
    </row>
    <row r="13" spans="1:13" ht="15" customHeight="1">
      <c r="A13" s="430"/>
      <c r="B13" s="187"/>
      <c r="C13" s="187"/>
      <c r="D13" s="187"/>
      <c r="E13" s="187"/>
      <c r="F13" s="408"/>
      <c r="G13" s="408"/>
      <c r="H13" s="408"/>
      <c r="I13" s="408"/>
      <c r="J13" s="409"/>
      <c r="K13" s="409"/>
      <c r="L13" s="409"/>
      <c r="M13" s="409"/>
    </row>
    <row r="14" spans="1:13" ht="18" customHeight="1">
      <c r="A14" s="87" t="s">
        <v>548</v>
      </c>
      <c r="B14" s="187">
        <v>-181.44184794089</v>
      </c>
      <c r="C14" s="187">
        <v>-80.954884088932033</v>
      </c>
      <c r="D14" s="187">
        <v>40.956444391227024</v>
      </c>
      <c r="E14" s="187">
        <v>-76.029523006213992</v>
      </c>
      <c r="F14" s="408">
        <v>-68.342393969173003</v>
      </c>
      <c r="G14" s="408">
        <v>-136.219328240176</v>
      </c>
      <c r="H14" s="408">
        <v>-115.57538227256896</v>
      </c>
      <c r="I14" s="408">
        <v>-381.24665828577201</v>
      </c>
      <c r="J14" s="409">
        <v>-305.53108146673401</v>
      </c>
      <c r="K14" s="409">
        <v>-268.3372778711439</v>
      </c>
      <c r="L14" s="409">
        <v>-230.54648970638414</v>
      </c>
      <c r="M14" s="409"/>
    </row>
    <row r="15" spans="1:13" ht="15" customHeight="1">
      <c r="A15" s="83" t="s">
        <v>477</v>
      </c>
      <c r="B15" s="416">
        <v>-9.6396984687999989</v>
      </c>
      <c r="C15" s="416">
        <v>-112.7088648886</v>
      </c>
      <c r="D15" s="416">
        <v>-28.117201795400007</v>
      </c>
      <c r="E15" s="416">
        <v>11.016581466576014</v>
      </c>
      <c r="F15" s="417">
        <v>-2.1066881213299986</v>
      </c>
      <c r="G15" s="417">
        <v>7.9931012968419983</v>
      </c>
      <c r="H15" s="417">
        <v>-27.35718811307029</v>
      </c>
      <c r="I15" s="417">
        <v>-20.796268590173007</v>
      </c>
      <c r="J15" s="418">
        <v>-7.4495882406420009</v>
      </c>
      <c r="K15" s="418">
        <v>-18.207527272151591</v>
      </c>
      <c r="L15" s="418">
        <v>-19.288037885718968</v>
      </c>
      <c r="M15" s="418"/>
    </row>
    <row r="16" spans="1:13" ht="18" customHeight="1">
      <c r="A16" s="100" t="s">
        <v>535</v>
      </c>
      <c r="B16" s="187"/>
      <c r="C16" s="187"/>
      <c r="D16" s="187"/>
      <c r="E16" s="187"/>
      <c r="F16" s="408"/>
      <c r="G16" s="408"/>
      <c r="H16" s="408"/>
      <c r="I16" s="408"/>
      <c r="J16" s="409"/>
      <c r="K16" s="409"/>
      <c r="L16" s="409"/>
      <c r="M16" s="409"/>
    </row>
    <row r="17" spans="1:13" ht="15" customHeight="1">
      <c r="A17" s="95" t="s">
        <v>599</v>
      </c>
      <c r="B17" s="187">
        <v>-261.76774568090701</v>
      </c>
      <c r="C17" s="187">
        <v>-335.32802539221689</v>
      </c>
      <c r="D17" s="187">
        <v>-203.3913833600642</v>
      </c>
      <c r="E17" s="187">
        <v>-324.65407870798998</v>
      </c>
      <c r="F17" s="408">
        <v>-258.78640517699807</v>
      </c>
      <c r="G17" s="408">
        <v>-268.40301950613298</v>
      </c>
      <c r="H17" s="408">
        <v>-214.67907778438314</v>
      </c>
      <c r="I17" s="408">
        <v>-433.28090205689705</v>
      </c>
      <c r="J17" s="409">
        <v>-343.28976810666597</v>
      </c>
      <c r="K17" s="409">
        <v>-287.33664481372455</v>
      </c>
      <c r="L17" s="409">
        <v>-264.5276893876171</v>
      </c>
      <c r="M17" s="409"/>
    </row>
    <row r="18" spans="1:13" ht="15" customHeight="1">
      <c r="A18" s="95" t="s">
        <v>645</v>
      </c>
      <c r="B18" s="187">
        <v>18.831792484499999</v>
      </c>
      <c r="C18" s="187">
        <v>57.791707570699998</v>
      </c>
      <c r="D18" s="187">
        <v>111.3534244802</v>
      </c>
      <c r="E18" s="187">
        <v>156.35600805014897</v>
      </c>
      <c r="F18" s="408">
        <v>130.35283723949999</v>
      </c>
      <c r="G18" s="408">
        <v>64.115777688349027</v>
      </c>
      <c r="H18" s="408">
        <v>25.529465757162995</v>
      </c>
      <c r="I18" s="408">
        <v>28.927786671714983</v>
      </c>
      <c r="J18" s="409">
        <v>27.738174250299902</v>
      </c>
      <c r="K18" s="409">
        <v>25.842995019711193</v>
      </c>
      <c r="L18" s="409">
        <v>50.294449503274897</v>
      </c>
      <c r="M18" s="409"/>
    </row>
    <row r="19" spans="1:13" s="405" customFormat="1" ht="15" customHeight="1">
      <c r="A19" s="95" t="s">
        <v>649</v>
      </c>
      <c r="B19" s="187">
        <v>44.143958986007</v>
      </c>
      <c r="C19" s="187">
        <v>64.840939780242991</v>
      </c>
      <c r="D19" s="187">
        <v>72.059135822394012</v>
      </c>
      <c r="E19" s="187">
        <v>55.662927412893985</v>
      </c>
      <c r="F19" s="408">
        <v>52.793087634622005</v>
      </c>
      <c r="G19" s="408">
        <v>35.718406251173995</v>
      </c>
      <c r="H19" s="408">
        <v>25.702140419358003</v>
      </c>
      <c r="I19" s="408">
        <v>10.251665215502996</v>
      </c>
      <c r="J19" s="409">
        <v>10.968653066472999</v>
      </c>
      <c r="K19" s="409">
        <v>-22.461505727383198</v>
      </c>
      <c r="L19" s="409">
        <v>-60.382528716554503</v>
      </c>
      <c r="M19" s="409"/>
    </row>
    <row r="20" spans="1:13" ht="15" customHeight="1">
      <c r="A20" s="95" t="s">
        <v>49</v>
      </c>
      <c r="B20" s="419">
        <v>7.7104478007100212</v>
      </c>
      <c r="C20" s="419">
        <v>19.03162906374186</v>
      </c>
      <c r="D20" s="419">
        <v>32.818065653297168</v>
      </c>
      <c r="E20" s="419">
        <v>47.622201705309074</v>
      </c>
      <c r="F20" s="420">
        <v>5.1913982123730804</v>
      </c>
      <c r="G20" s="420">
        <v>40.342608623275943</v>
      </c>
      <c r="H20" s="420">
        <v>20.514901222222889</v>
      </c>
      <c r="I20" s="420">
        <v>-7.9414767062659308</v>
      </c>
      <c r="J20" s="421">
        <v>-8.3977289174829508</v>
      </c>
      <c r="K20" s="421">
        <v>-2.5896496218988823</v>
      </c>
      <c r="L20" s="421">
        <v>24.781241008793508</v>
      </c>
      <c r="M20" s="421"/>
    </row>
    <row r="21" spans="1:13" ht="18" customHeight="1">
      <c r="A21" s="96" t="s">
        <v>412</v>
      </c>
      <c r="B21" s="410">
        <v>-191.08154640968999</v>
      </c>
      <c r="C21" s="410">
        <v>-193.66374897753204</v>
      </c>
      <c r="D21" s="410">
        <v>12.839242595826988</v>
      </c>
      <c r="E21" s="410">
        <v>-65.01294153963795</v>
      </c>
      <c r="F21" s="411">
        <v>-70.449082090502998</v>
      </c>
      <c r="G21" s="411">
        <v>-128.22622694333401</v>
      </c>
      <c r="H21" s="411">
        <v>-142.93257038563925</v>
      </c>
      <c r="I21" s="411">
        <v>-402.042926875945</v>
      </c>
      <c r="J21" s="412">
        <v>-312.98066970737602</v>
      </c>
      <c r="K21" s="412">
        <v>-286.54480514329543</v>
      </c>
      <c r="L21" s="412">
        <v>-249.8345275921032</v>
      </c>
      <c r="M21" s="412"/>
    </row>
    <row r="22" spans="1:13" ht="15" customHeight="1">
      <c r="A22" s="83" t="s">
        <v>143</v>
      </c>
      <c r="B22" s="187">
        <v>-117.02824157292501</v>
      </c>
      <c r="C22" s="187">
        <v>-118.813711829849</v>
      </c>
      <c r="D22" s="187">
        <v>-119.24740305619795</v>
      </c>
      <c r="E22" s="187">
        <v>-130.84032034291403</v>
      </c>
      <c r="F22" s="408">
        <v>-119.351437686884</v>
      </c>
      <c r="G22" s="408">
        <v>-131.57265478117199</v>
      </c>
      <c r="H22" s="408">
        <v>-137.28584042020006</v>
      </c>
      <c r="I22" s="408">
        <v>-149.43677432077493</v>
      </c>
      <c r="J22" s="409">
        <v>-161.03310078482301</v>
      </c>
      <c r="K22" s="409">
        <v>-179.50195614117197</v>
      </c>
      <c r="L22" s="409">
        <v>-182.25764124895608</v>
      </c>
      <c r="M22" s="409"/>
    </row>
    <row r="23" spans="1:13" ht="15" customHeight="1">
      <c r="A23" s="89" t="s">
        <v>593</v>
      </c>
      <c r="B23" s="419">
        <v>0</v>
      </c>
      <c r="C23" s="419">
        <v>0</v>
      </c>
      <c r="D23" s="419">
        <v>-16.703725385272001</v>
      </c>
      <c r="E23" s="419">
        <v>-8.3905503324920012</v>
      </c>
      <c r="F23" s="420">
        <v>0</v>
      </c>
      <c r="G23" s="420">
        <v>0</v>
      </c>
      <c r="H23" s="420">
        <v>0</v>
      </c>
      <c r="I23" s="420">
        <v>-3.8607439794427703</v>
      </c>
      <c r="J23" s="421">
        <v>0</v>
      </c>
      <c r="K23" s="421">
        <v>0</v>
      </c>
      <c r="L23" s="421">
        <v>-0.77688099946591271</v>
      </c>
      <c r="M23" s="421"/>
    </row>
    <row r="24" spans="1:13" ht="18" customHeight="1">
      <c r="A24" s="96" t="s">
        <v>502</v>
      </c>
      <c r="B24" s="410">
        <v>-308.08142225368999</v>
      </c>
      <c r="C24" s="410">
        <v>-312.50582947347402</v>
      </c>
      <c r="D24" s="410">
        <v>-123.11188584564297</v>
      </c>
      <c r="E24" s="410">
        <v>-204.24381221504404</v>
      </c>
      <c r="F24" s="411">
        <v>-189.45521301711378</v>
      </c>
      <c r="G24" s="411">
        <v>-259.79910742916479</v>
      </c>
      <c r="H24" s="411">
        <v>-280.29033022614311</v>
      </c>
      <c r="I24" s="411">
        <v>-555.34044517616246</v>
      </c>
      <c r="J24" s="412">
        <v>-474.04710349166493</v>
      </c>
      <c r="K24" s="412">
        <v>-466.08009428393342</v>
      </c>
      <c r="L24" s="412">
        <v>-432.86904984052501</v>
      </c>
      <c r="M24" s="412"/>
    </row>
    <row r="25" spans="1:13" ht="15" customHeight="1">
      <c r="A25" s="115" t="s">
        <v>1</v>
      </c>
      <c r="B25" s="187"/>
      <c r="C25" s="187"/>
      <c r="D25" s="187"/>
      <c r="E25" s="187"/>
      <c r="F25" s="408"/>
      <c r="G25" s="408"/>
      <c r="H25" s="408"/>
      <c r="I25" s="408"/>
      <c r="J25" s="409"/>
      <c r="K25" s="409"/>
      <c r="L25" s="409"/>
      <c r="M25" s="409"/>
    </row>
    <row r="26" spans="1:13" ht="15" customHeight="1">
      <c r="A26" s="95" t="s">
        <v>599</v>
      </c>
      <c r="B26" s="187">
        <v>-360.68255258755721</v>
      </c>
      <c r="C26" s="187">
        <v>-435.25349585862068</v>
      </c>
      <c r="D26" s="187">
        <v>-302.1671641084622</v>
      </c>
      <c r="E26" s="187">
        <v>-433.02640484172599</v>
      </c>
      <c r="F26" s="408">
        <v>-358.62561149133467</v>
      </c>
      <c r="G26" s="408">
        <v>-379.02962693082998</v>
      </c>
      <c r="H26" s="408">
        <v>-329.10526906830876</v>
      </c>
      <c r="I26" s="408">
        <v>-554.27987102835186</v>
      </c>
      <c r="J26" s="409">
        <v>-467.06998083576491</v>
      </c>
      <c r="K26" s="409">
        <v>-411.92135409623938</v>
      </c>
      <c r="L26" s="409">
        <v>-393.62461523247794</v>
      </c>
      <c r="M26" s="409"/>
    </row>
    <row r="27" spans="1:13" ht="15" customHeight="1">
      <c r="A27" s="95" t="s">
        <v>645</v>
      </c>
      <c r="B27" s="187">
        <v>11.092927484499999</v>
      </c>
      <c r="C27" s="187">
        <v>49.7644647507</v>
      </c>
      <c r="D27" s="187">
        <v>103.9474602402</v>
      </c>
      <c r="E27" s="187">
        <v>148.73143464834899</v>
      </c>
      <c r="F27" s="408">
        <v>121.75603812149998</v>
      </c>
      <c r="G27" s="408">
        <v>54.87808770924903</v>
      </c>
      <c r="H27" s="408">
        <v>15.70880399486299</v>
      </c>
      <c r="I27" s="408">
        <v>19.011413415995975</v>
      </c>
      <c r="J27" s="409">
        <v>17.028538145699905</v>
      </c>
      <c r="K27" s="409">
        <v>14.465661717821188</v>
      </c>
      <c r="L27" s="409">
        <v>38.428056902474907</v>
      </c>
      <c r="M27" s="409"/>
    </row>
    <row r="28" spans="1:13" s="405" customFormat="1" ht="15" customHeight="1">
      <c r="A28" s="95" t="s">
        <v>649</v>
      </c>
      <c r="B28" s="187">
        <v>43.849940248656999</v>
      </c>
      <c r="C28" s="187">
        <v>64.498666613705012</v>
      </c>
      <c r="D28" s="187">
        <v>71.748819897721987</v>
      </c>
      <c r="E28" s="187">
        <v>54.957124723822027</v>
      </c>
      <c r="F28" s="408">
        <v>52.142232964002005</v>
      </c>
      <c r="G28" s="408">
        <v>34.998799817746004</v>
      </c>
      <c r="H28" s="408">
        <v>24.907222520945993</v>
      </c>
      <c r="I28" s="408">
        <v>7.6136564598070038</v>
      </c>
      <c r="J28" s="409">
        <v>-2.3166523427920005</v>
      </c>
      <c r="K28" s="409">
        <v>-50.615795488502101</v>
      </c>
      <c r="L28" s="409">
        <v>-91.204335166795403</v>
      </c>
      <c r="M28" s="409"/>
    </row>
    <row r="29" spans="1:13" ht="15" customHeight="1">
      <c r="A29" s="97" t="s">
        <v>49</v>
      </c>
      <c r="B29" s="419">
        <v>-2.3417373992897765</v>
      </c>
      <c r="C29" s="419">
        <v>8.4845350207416459</v>
      </c>
      <c r="D29" s="419">
        <v>3.3589981248972407</v>
      </c>
      <c r="E29" s="419">
        <v>25.094033254510926</v>
      </c>
      <c r="F29" s="420">
        <v>-4.7278726112811</v>
      </c>
      <c r="G29" s="420">
        <v>29.353631974670151</v>
      </c>
      <c r="H29" s="420">
        <v>8.1989123263566626</v>
      </c>
      <c r="I29" s="420">
        <v>-27.685644023613577</v>
      </c>
      <c r="J29" s="421">
        <v>-21.689008458807923</v>
      </c>
      <c r="K29" s="421">
        <v>-18.008606417013127</v>
      </c>
      <c r="L29" s="421">
        <v>13.531843656273423</v>
      </c>
      <c r="M29" s="421"/>
    </row>
    <row r="30" spans="1:13" ht="15" customHeight="1">
      <c r="A30" s="430"/>
      <c r="B30" s="187"/>
      <c r="C30" s="187"/>
      <c r="D30" s="187"/>
      <c r="E30" s="187"/>
      <c r="F30" s="408"/>
      <c r="G30" s="408"/>
      <c r="H30" s="408"/>
      <c r="I30" s="408"/>
      <c r="J30" s="409"/>
      <c r="K30" s="409"/>
      <c r="L30" s="409"/>
      <c r="M30" s="409"/>
    </row>
    <row r="31" spans="1:13" ht="15" customHeight="1">
      <c r="A31" s="95" t="s">
        <v>64</v>
      </c>
      <c r="B31" s="187">
        <v>166.48702019999999</v>
      </c>
      <c r="C31" s="187">
        <v>196.27673419240003</v>
      </c>
      <c r="D31" s="187">
        <v>102.40510283959998</v>
      </c>
      <c r="E31" s="187">
        <v>57.878901062399962</v>
      </c>
      <c r="F31" s="408">
        <v>101.52250573800001</v>
      </c>
      <c r="G31" s="408">
        <v>188.68287491679996</v>
      </c>
      <c r="H31" s="408">
        <v>114.56003952060007</v>
      </c>
      <c r="I31" s="408">
        <v>244.67962807459998</v>
      </c>
      <c r="J31" s="409">
        <v>174.904640785525</v>
      </c>
      <c r="K31" s="409">
        <v>191.24448578505203</v>
      </c>
      <c r="L31" s="409">
        <v>203.31348811525089</v>
      </c>
      <c r="M31" s="409"/>
    </row>
    <row r="32" spans="1:13" ht="15" customHeight="1">
      <c r="A32" s="97" t="s">
        <v>0</v>
      </c>
      <c r="B32" s="419">
        <v>171.291</v>
      </c>
      <c r="C32" s="419">
        <v>157.22699999999998</v>
      </c>
      <c r="D32" s="419">
        <v>123.86000000000001</v>
      </c>
      <c r="E32" s="419">
        <v>279.85143779999993</v>
      </c>
      <c r="F32" s="420">
        <v>304.50200000000001</v>
      </c>
      <c r="G32" s="420">
        <v>57.209531000000027</v>
      </c>
      <c r="H32" s="420">
        <v>74.096375769999952</v>
      </c>
      <c r="I32" s="420">
        <v>64.613747499999988</v>
      </c>
      <c r="J32" s="421">
        <v>3137.5661455999998</v>
      </c>
      <c r="K32" s="421">
        <v>287.48170720799044</v>
      </c>
      <c r="L32" s="421">
        <v>41.797862617169358</v>
      </c>
      <c r="M32" s="421"/>
    </row>
    <row r="33" spans="1:2" ht="15" customHeight="1">
      <c r="A33" s="564" t="s">
        <v>652</v>
      </c>
      <c r="B33" s="429"/>
    </row>
    <row r="34" spans="1:2">
      <c r="A34" s="31"/>
    </row>
    <row r="35" spans="1:2">
      <c r="A35" s="31"/>
    </row>
  </sheetData>
  <mergeCells count="3">
    <mergeCell ref="B4:E4"/>
    <mergeCell ref="F4:I4"/>
    <mergeCell ref="J4:M4"/>
  </mergeCells>
  <phoneticPr fontId="16" type="noConversion"/>
  <pageMargins left="0.33" right="0.26" top="0.984251969" bottom="0.984251969" header="0.5" footer="0.5"/>
  <pageSetup paperSize="9" scale="7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8" enableFormatConditionsCalculation="0">
    <tabColor indexed="25"/>
    <pageSetUpPr fitToPage="1"/>
  </sheetPr>
  <dimension ref="A1:S48"/>
  <sheetViews>
    <sheetView showGridLines="0" view="pageBreakPreview" zoomScale="90" zoomScaleNormal="85" zoomScaleSheetLayoutView="90" workbookViewId="0">
      <selection activeCell="A3" sqref="A3"/>
    </sheetView>
  </sheetViews>
  <sheetFormatPr defaultColWidth="9.140625" defaultRowHeight="12.75"/>
  <cols>
    <col min="1" max="1" width="76.7109375" customWidth="1"/>
    <col min="2" max="13" width="13.7109375" customWidth="1"/>
    <col min="15" max="15" width="9.5703125" bestFit="1" customWidth="1"/>
  </cols>
  <sheetData>
    <row r="1" spans="1:19" ht="15" customHeight="1">
      <c r="G1" s="297"/>
      <c r="H1" s="297"/>
      <c r="I1" s="406"/>
      <c r="J1" s="406"/>
      <c r="K1" s="406"/>
      <c r="L1" s="406"/>
      <c r="M1" s="406"/>
      <c r="O1" s="360"/>
    </row>
    <row r="2" spans="1:19" ht="15" customHeight="1">
      <c r="G2" s="229"/>
      <c r="H2" s="229"/>
      <c r="I2" s="229"/>
      <c r="J2" s="229"/>
      <c r="K2" s="229"/>
      <c r="L2" s="229"/>
      <c r="M2" s="229"/>
    </row>
    <row r="3" spans="1:19" ht="15" customHeight="1" thickBot="1">
      <c r="A3" s="92" t="s">
        <v>499</v>
      </c>
      <c r="B3" s="93"/>
      <c r="C3" s="93"/>
      <c r="D3" s="93"/>
      <c r="E3" s="93"/>
      <c r="F3" s="93"/>
      <c r="G3" s="93"/>
      <c r="H3" s="93"/>
      <c r="I3" s="93"/>
      <c r="J3" s="93"/>
      <c r="K3" s="93"/>
      <c r="L3" s="93"/>
      <c r="M3" s="93"/>
    </row>
    <row r="4" spans="1:19" ht="15" customHeight="1" thickBot="1">
      <c r="A4" s="78" t="s">
        <v>33</v>
      </c>
      <c r="B4" s="576">
        <v>2014</v>
      </c>
      <c r="C4" s="577"/>
      <c r="D4" s="577"/>
      <c r="E4" s="578"/>
      <c r="F4" s="579">
        <v>2015</v>
      </c>
      <c r="G4" s="580"/>
      <c r="H4" s="580"/>
      <c r="I4" s="581"/>
      <c r="J4" s="582">
        <v>2016</v>
      </c>
      <c r="K4" s="583"/>
      <c r="L4" s="583"/>
      <c r="M4" s="583"/>
    </row>
    <row r="5" spans="1:19" ht="15" customHeight="1" thickBot="1">
      <c r="A5" s="79" t="s">
        <v>525</v>
      </c>
      <c r="B5" s="262" t="s">
        <v>510</v>
      </c>
      <c r="C5" s="262" t="s">
        <v>511</v>
      </c>
      <c r="D5" s="262" t="s">
        <v>513</v>
      </c>
      <c r="E5" s="263" t="s">
        <v>514</v>
      </c>
      <c r="F5" s="307" t="s">
        <v>510</v>
      </c>
      <c r="G5" s="307" t="s">
        <v>511</v>
      </c>
      <c r="H5" s="307" t="s">
        <v>513</v>
      </c>
      <c r="I5" s="310" t="s">
        <v>514</v>
      </c>
      <c r="J5" s="235" t="s">
        <v>510</v>
      </c>
      <c r="K5" s="235" t="s">
        <v>511</v>
      </c>
      <c r="L5" s="235" t="s">
        <v>513</v>
      </c>
      <c r="M5" s="496" t="s">
        <v>514</v>
      </c>
      <c r="N5" s="389"/>
    </row>
    <row r="6" spans="1:19" ht="15" customHeight="1">
      <c r="A6" s="116" t="s">
        <v>537</v>
      </c>
      <c r="B6" s="187">
        <v>26514.642375967996</v>
      </c>
      <c r="C6" s="187">
        <v>26803.140824456896</v>
      </c>
      <c r="D6" s="187">
        <v>27685.423529232809</v>
      </c>
      <c r="E6" s="187">
        <v>30440.055177142305</v>
      </c>
      <c r="F6" s="408">
        <v>31445.942137061902</v>
      </c>
      <c r="G6" s="408">
        <v>31405.680736516595</v>
      </c>
      <c r="H6" s="408">
        <v>31836.333642228099</v>
      </c>
      <c r="I6" s="408">
        <v>33486.817777611403</v>
      </c>
      <c r="J6" s="347">
        <v>33012.968308795105</v>
      </c>
      <c r="K6" s="347">
        <v>32477.031748621892</v>
      </c>
      <c r="L6" s="347">
        <v>32793.63805703941</v>
      </c>
      <c r="M6" s="347"/>
      <c r="O6" s="229"/>
    </row>
    <row r="7" spans="1:19" ht="15" customHeight="1">
      <c r="A7" s="95" t="s">
        <v>532</v>
      </c>
      <c r="B7" s="187">
        <v>-7092.7867412129899</v>
      </c>
      <c r="C7" s="187">
        <v>-7009.5921190180115</v>
      </c>
      <c r="D7" s="187">
        <v>-7430.3926601846943</v>
      </c>
      <c r="E7" s="187">
        <v>-9297.7053120597011</v>
      </c>
      <c r="F7" s="408">
        <v>-8990.3486599769185</v>
      </c>
      <c r="G7" s="408">
        <v>-8625.6178862440811</v>
      </c>
      <c r="H7" s="408">
        <v>-7973.7514576375033</v>
      </c>
      <c r="I7" s="408">
        <v>-9557.2831686663958</v>
      </c>
      <c r="J7" s="330">
        <v>-8441.6611323389807</v>
      </c>
      <c r="K7" s="330">
        <v>-8151.9335508466174</v>
      </c>
      <c r="L7" s="330">
        <v>-8174.0858706524014</v>
      </c>
      <c r="M7" s="330"/>
      <c r="O7" s="229"/>
    </row>
    <row r="8" spans="1:19" ht="15" customHeight="1">
      <c r="A8" s="95" t="s">
        <v>471</v>
      </c>
      <c r="B8" s="187">
        <v>-2870.9557214021002</v>
      </c>
      <c r="C8" s="187">
        <v>-2859.6765035602098</v>
      </c>
      <c r="D8" s="187">
        <v>-2594.2869669299907</v>
      </c>
      <c r="E8" s="187">
        <v>-3050.1109199518996</v>
      </c>
      <c r="F8" s="408">
        <v>-3077.5262577634403</v>
      </c>
      <c r="G8" s="408">
        <v>-3078.0971928372692</v>
      </c>
      <c r="H8" s="408">
        <v>-2957.6903629570897</v>
      </c>
      <c r="I8" s="408">
        <v>-3292.4937608936016</v>
      </c>
      <c r="J8" s="330">
        <v>-3380.8839649368101</v>
      </c>
      <c r="K8" s="330">
        <v>-3426.9151492454102</v>
      </c>
      <c r="L8" s="330">
        <v>-3135.5223893059592</v>
      </c>
      <c r="M8" s="330"/>
      <c r="O8" s="229"/>
      <c r="R8" s="406"/>
    </row>
    <row r="9" spans="1:19" ht="15" customHeight="1">
      <c r="A9" s="95" t="s">
        <v>533</v>
      </c>
      <c r="B9" s="187">
        <v>-7252.5218272162983</v>
      </c>
      <c r="C9" s="187">
        <v>-7317.624011059348</v>
      </c>
      <c r="D9" s="187">
        <v>-7397.7330205934086</v>
      </c>
      <c r="E9" s="187">
        <v>-8773.8022900089381</v>
      </c>
      <c r="F9" s="408">
        <v>-8582.7683401469385</v>
      </c>
      <c r="G9" s="408">
        <v>-9007.1222253295364</v>
      </c>
      <c r="H9" s="408">
        <v>-9057.3744344836741</v>
      </c>
      <c r="I9" s="408">
        <v>-9777.2708764826966</v>
      </c>
      <c r="J9" s="330">
        <v>-9505.6252643308817</v>
      </c>
      <c r="K9" s="330">
        <v>-9353.2221164807106</v>
      </c>
      <c r="L9" s="330">
        <v>-9024.5506524382836</v>
      </c>
      <c r="M9" s="330"/>
      <c r="O9" s="229"/>
    </row>
    <row r="10" spans="1:19" ht="15" customHeight="1">
      <c r="A10" s="95" t="s">
        <v>628</v>
      </c>
      <c r="B10" s="187">
        <v>2881</v>
      </c>
      <c r="C10" s="187">
        <v>82</v>
      </c>
      <c r="D10" s="187">
        <v>4</v>
      </c>
      <c r="E10" s="187">
        <v>126</v>
      </c>
      <c r="F10" s="408">
        <v>90</v>
      </c>
      <c r="G10" s="408">
        <v>31</v>
      </c>
      <c r="H10" s="408">
        <v>10</v>
      </c>
      <c r="I10" s="408">
        <v>-18</v>
      </c>
      <c r="J10" s="330">
        <v>9</v>
      </c>
      <c r="K10" s="330">
        <v>23.234999999999999</v>
      </c>
      <c r="L10" s="330">
        <v>29.07</v>
      </c>
      <c r="M10" s="330"/>
      <c r="O10" s="229"/>
    </row>
    <row r="11" spans="1:19" ht="15" customHeight="1">
      <c r="A11" s="95" t="s">
        <v>629</v>
      </c>
      <c r="B11" s="187">
        <v>-295</v>
      </c>
      <c r="C11" s="187">
        <v>-278</v>
      </c>
      <c r="D11" s="187">
        <v>-104</v>
      </c>
      <c r="E11" s="187">
        <v>-421</v>
      </c>
      <c r="F11" s="408">
        <v>-128</v>
      </c>
      <c r="G11" s="408">
        <v>-190</v>
      </c>
      <c r="H11" s="408">
        <v>-428</v>
      </c>
      <c r="I11" s="408">
        <v>-239</v>
      </c>
      <c r="J11" s="330">
        <v>-699.83201975293605</v>
      </c>
      <c r="K11" s="330">
        <v>-309.89222787293295</v>
      </c>
      <c r="L11" s="330">
        <v>-105.16361528390087</v>
      </c>
      <c r="M11" s="330"/>
      <c r="O11" s="229"/>
      <c r="P11" s="406"/>
      <c r="Q11" s="406"/>
      <c r="R11" s="406"/>
      <c r="S11" s="406"/>
    </row>
    <row r="12" spans="1:19" ht="18" customHeight="1">
      <c r="A12" s="98" t="s">
        <v>535</v>
      </c>
      <c r="B12" s="410">
        <v>11883.966653666401</v>
      </c>
      <c r="C12" s="410">
        <v>9420.5775951796968</v>
      </c>
      <c r="D12" s="410">
        <v>10162.515947107502</v>
      </c>
      <c r="E12" s="410">
        <v>9023.2674254282974</v>
      </c>
      <c r="F12" s="411">
        <v>10756.900429704399</v>
      </c>
      <c r="G12" s="411">
        <v>10536.033785224399</v>
      </c>
      <c r="H12" s="411">
        <v>11430.009188496202</v>
      </c>
      <c r="I12" s="411">
        <v>10602.543346466897</v>
      </c>
      <c r="J12" s="348">
        <v>10993.965927435498</v>
      </c>
      <c r="K12" s="348">
        <v>11258.366702015404</v>
      </c>
      <c r="L12" s="348">
        <v>12383.385528358798</v>
      </c>
      <c r="M12" s="348"/>
      <c r="O12" s="229"/>
    </row>
    <row r="13" spans="1:19" ht="15" customHeight="1">
      <c r="A13" s="114" t="s">
        <v>143</v>
      </c>
      <c r="B13" s="187">
        <v>-3717.9192150808703</v>
      </c>
      <c r="C13" s="187">
        <v>-3735.6746746915096</v>
      </c>
      <c r="D13" s="187">
        <v>-3872.2459602297213</v>
      </c>
      <c r="E13" s="187">
        <v>-4203.5445721538999</v>
      </c>
      <c r="F13" s="408">
        <v>-4179.9011026530297</v>
      </c>
      <c r="G13" s="408">
        <v>-4336.4368758676501</v>
      </c>
      <c r="H13" s="408">
        <v>-4784.6064121966192</v>
      </c>
      <c r="I13" s="408">
        <v>-5082.8970510263989</v>
      </c>
      <c r="J13" s="330">
        <v>-5043.5941431867395</v>
      </c>
      <c r="K13" s="330">
        <v>-4839.6980765395001</v>
      </c>
      <c r="L13" s="330">
        <v>-5073.1140164597618</v>
      </c>
      <c r="M13" s="330"/>
      <c r="O13" s="229"/>
    </row>
    <row r="14" spans="1:19" ht="15" customHeight="1">
      <c r="A14" s="114" t="s">
        <v>43</v>
      </c>
      <c r="B14" s="187">
        <v>-8.746814624071181</v>
      </c>
      <c r="C14" s="187">
        <v>0</v>
      </c>
      <c r="D14" s="187">
        <v>-16.858578033564008</v>
      </c>
      <c r="E14" s="187">
        <v>-8.7366112411431018</v>
      </c>
      <c r="F14" s="408">
        <v>-13.211794887162199</v>
      </c>
      <c r="G14" s="408">
        <v>-6.6174445097256971</v>
      </c>
      <c r="H14" s="408">
        <v>-58.246355406354894</v>
      </c>
      <c r="I14" s="408">
        <v>-2102.643687529097</v>
      </c>
      <c r="J14" s="330">
        <v>-2430.0993799394796</v>
      </c>
      <c r="K14" s="330">
        <v>-223.09831780587001</v>
      </c>
      <c r="L14" s="330">
        <v>-4142.8072559352804</v>
      </c>
      <c r="M14" s="330"/>
      <c r="O14" s="229"/>
      <c r="R14" s="406"/>
    </row>
    <row r="15" spans="1:19" ht="18" customHeight="1">
      <c r="A15" s="118" t="s">
        <v>472</v>
      </c>
      <c r="B15" s="410">
        <v>8157.3006239614197</v>
      </c>
      <c r="C15" s="410">
        <v>5684.9416913767809</v>
      </c>
      <c r="D15" s="410">
        <v>6273.4114088442002</v>
      </c>
      <c r="E15" s="410">
        <v>4810.9862420331992</v>
      </c>
      <c r="F15" s="411">
        <v>6563.7875321642105</v>
      </c>
      <c r="G15" s="411">
        <v>6192.9794648470879</v>
      </c>
      <c r="H15" s="411">
        <v>6587.1564208931013</v>
      </c>
      <c r="I15" s="411">
        <v>3417.0026079113995</v>
      </c>
      <c r="J15" s="348">
        <v>3520.2724043092799</v>
      </c>
      <c r="K15" s="348">
        <v>6195.5703076700192</v>
      </c>
      <c r="L15" s="348">
        <v>3167.4642559638014</v>
      </c>
      <c r="M15" s="348"/>
      <c r="O15" s="229"/>
      <c r="R15" s="360"/>
    </row>
    <row r="16" spans="1:19" ht="15" customHeight="1">
      <c r="A16" s="114" t="s">
        <v>614</v>
      </c>
      <c r="B16" s="187">
        <v>-1849.5785025784799</v>
      </c>
      <c r="C16" s="187">
        <v>-484.02022977385968</v>
      </c>
      <c r="D16" s="187">
        <v>-294.47395931698065</v>
      </c>
      <c r="E16" s="187">
        <v>-1169.6816374691302</v>
      </c>
      <c r="F16" s="408">
        <v>428.47846614433894</v>
      </c>
      <c r="G16" s="408">
        <v>451.66777507517105</v>
      </c>
      <c r="H16" s="408">
        <v>-5122.4208901121901</v>
      </c>
      <c r="I16" s="408">
        <v>-2827.7270736827395</v>
      </c>
      <c r="J16" s="321">
        <v>4174.7821466370206</v>
      </c>
      <c r="K16" s="321">
        <v>-2078.9504873825508</v>
      </c>
      <c r="L16" s="321">
        <v>-2022.0318521999898</v>
      </c>
      <c r="M16" s="321"/>
      <c r="O16" s="229"/>
      <c r="R16" s="406"/>
    </row>
    <row r="17" spans="1:15" ht="15" customHeight="1">
      <c r="A17" s="95" t="s">
        <v>615</v>
      </c>
      <c r="B17" s="187">
        <v>12.745873</v>
      </c>
      <c r="C17" s="187">
        <v>-77.914337799999998</v>
      </c>
      <c r="D17" s="187">
        <v>3.8098095999999941</v>
      </c>
      <c r="E17" s="187">
        <v>0</v>
      </c>
      <c r="F17" s="408">
        <v>224.29972800000002</v>
      </c>
      <c r="G17" s="408">
        <v>0</v>
      </c>
      <c r="H17" s="408">
        <v>33.410623869999995</v>
      </c>
      <c r="I17" s="408">
        <v>-7.0157747100000165</v>
      </c>
      <c r="J17" s="330">
        <v>0</v>
      </c>
      <c r="K17" s="330">
        <v>-70.552000000000007</v>
      </c>
      <c r="L17" s="330">
        <v>-3237.7889173470403</v>
      </c>
      <c r="M17" s="330"/>
      <c r="O17" s="229"/>
    </row>
    <row r="18" spans="1:15" ht="15" customHeight="1">
      <c r="A18" s="95" t="s">
        <v>563</v>
      </c>
      <c r="B18" s="187">
        <v>-76.224451010110499</v>
      </c>
      <c r="C18" s="187">
        <v>-279.30271289953646</v>
      </c>
      <c r="D18" s="187">
        <v>-576.95531501534902</v>
      </c>
      <c r="E18" s="187">
        <v>-778.66319168328391</v>
      </c>
      <c r="F18" s="408">
        <v>-549.60716141916896</v>
      </c>
      <c r="G18" s="408">
        <v>-594.99632498456094</v>
      </c>
      <c r="H18" s="408">
        <v>-796.53019745579991</v>
      </c>
      <c r="I18" s="408">
        <v>-980.10590918102025</v>
      </c>
      <c r="J18" s="330">
        <v>-1007.51072439294</v>
      </c>
      <c r="K18" s="330">
        <v>-472.62608075616993</v>
      </c>
      <c r="L18" s="330">
        <v>-260.40009378575019</v>
      </c>
      <c r="M18" s="330"/>
      <c r="O18" s="229"/>
    </row>
    <row r="19" spans="1:15" ht="18" customHeight="1">
      <c r="A19" s="119" t="s">
        <v>612</v>
      </c>
      <c r="B19" s="410">
        <v>6244.2435433728306</v>
      </c>
      <c r="C19" s="410">
        <v>4843.7044109032695</v>
      </c>
      <c r="D19" s="410">
        <v>5405.7919441119993</v>
      </c>
      <c r="E19" s="410">
        <v>2862.6552070809048</v>
      </c>
      <c r="F19" s="411">
        <v>6666.9585648893699</v>
      </c>
      <c r="G19" s="411">
        <v>6049.6509149377307</v>
      </c>
      <c r="H19" s="411">
        <v>701.61595719509933</v>
      </c>
      <c r="I19" s="411">
        <v>-397.84614966250047</v>
      </c>
      <c r="J19" s="348">
        <v>6687.5438265433604</v>
      </c>
      <c r="K19" s="348">
        <v>3573.4417395313394</v>
      </c>
      <c r="L19" s="348">
        <v>-2352.7566073691005</v>
      </c>
      <c r="M19" s="348"/>
      <c r="N19" s="389"/>
      <c r="O19" s="229"/>
    </row>
    <row r="20" spans="1:15" ht="15" customHeight="1">
      <c r="A20" s="111" t="s">
        <v>564</v>
      </c>
      <c r="B20" s="187">
        <v>-1645.3262563897199</v>
      </c>
      <c r="C20" s="187">
        <v>-1649.4833685328597</v>
      </c>
      <c r="D20" s="187">
        <v>-1846.3137443802102</v>
      </c>
      <c r="E20" s="187">
        <v>-1456.3943654088298</v>
      </c>
      <c r="F20" s="408">
        <v>-1849.57950076107</v>
      </c>
      <c r="G20" s="408">
        <v>-1721.6927067423803</v>
      </c>
      <c r="H20" s="408">
        <v>-1750.6024191006504</v>
      </c>
      <c r="I20" s="408">
        <v>-994.99871380641889</v>
      </c>
      <c r="J20" s="330">
        <v>-1601.1779250909901</v>
      </c>
      <c r="K20" s="330">
        <v>-1769.4091886106396</v>
      </c>
      <c r="L20" s="330">
        <v>-1643.1407411089599</v>
      </c>
      <c r="M20" s="330"/>
      <c r="N20" s="389"/>
      <c r="O20" s="229"/>
    </row>
    <row r="21" spans="1:15" ht="18" customHeight="1">
      <c r="A21" s="98" t="s">
        <v>607</v>
      </c>
      <c r="B21" s="410">
        <v>4598.91728698311</v>
      </c>
      <c r="C21" s="410">
        <v>3194.22104237042</v>
      </c>
      <c r="D21" s="410">
        <v>3559.4781997317705</v>
      </c>
      <c r="E21" s="410">
        <v>1406.2608416721014</v>
      </c>
      <c r="F21" s="411">
        <v>4817.3790641282794</v>
      </c>
      <c r="G21" s="411">
        <v>4327.9582081952922</v>
      </c>
      <c r="H21" s="411">
        <v>-1048.9864619054906</v>
      </c>
      <c r="I21" s="411">
        <v>-1392.844863468822</v>
      </c>
      <c r="J21" s="332">
        <v>5086.3659014523491</v>
      </c>
      <c r="K21" s="332">
        <v>1804.0325509206505</v>
      </c>
      <c r="L21" s="332">
        <v>-3995.8973484780699</v>
      </c>
      <c r="M21" s="332"/>
      <c r="N21" s="389"/>
      <c r="O21" s="229"/>
    </row>
    <row r="22" spans="1:15" ht="15" customHeight="1">
      <c r="A22" s="100"/>
      <c r="B22" s="187"/>
      <c r="C22" s="187"/>
      <c r="D22" s="187"/>
      <c r="E22" s="187"/>
      <c r="F22" s="408"/>
      <c r="G22" s="408"/>
      <c r="H22" s="408"/>
      <c r="I22" s="408"/>
      <c r="J22" s="330"/>
      <c r="K22" s="330"/>
      <c r="L22" s="330"/>
      <c r="M22" s="330"/>
      <c r="N22" s="389"/>
      <c r="O22" s="229"/>
    </row>
    <row r="23" spans="1:15" ht="15" customHeight="1">
      <c r="A23" s="100" t="s">
        <v>141</v>
      </c>
      <c r="B23" s="187"/>
      <c r="C23" s="187"/>
      <c r="D23" s="187"/>
      <c r="E23" s="187"/>
      <c r="F23" s="408"/>
      <c r="G23" s="408"/>
      <c r="H23" s="408"/>
      <c r="I23" s="408"/>
      <c r="J23" s="330"/>
      <c r="K23" s="330"/>
      <c r="L23" s="330"/>
      <c r="M23" s="330"/>
      <c r="N23" s="389"/>
      <c r="O23" s="229"/>
    </row>
    <row r="24" spans="1:15" ht="15" customHeight="1">
      <c r="A24" s="95" t="s">
        <v>144</v>
      </c>
      <c r="B24" s="187">
        <v>922.996538628037</v>
      </c>
      <c r="C24" s="187">
        <v>875.59272794971287</v>
      </c>
      <c r="D24" s="187">
        <v>973.39001426504024</v>
      </c>
      <c r="E24" s="187">
        <v>910.17800415897136</v>
      </c>
      <c r="F24" s="408">
        <v>966.78508726208599</v>
      </c>
      <c r="G24" s="408">
        <v>870.06572463713394</v>
      </c>
      <c r="H24" s="408">
        <v>720.57798698636043</v>
      </c>
      <c r="I24" s="408">
        <v>731.7468352208989</v>
      </c>
      <c r="J24" s="330">
        <v>830.26632140945105</v>
      </c>
      <c r="K24" s="330">
        <v>693.44382314003894</v>
      </c>
      <c r="L24" s="330">
        <v>825.04539218929995</v>
      </c>
      <c r="M24" s="330"/>
      <c r="N24" s="389"/>
      <c r="O24" s="229"/>
    </row>
    <row r="25" spans="1:15" ht="15" customHeight="1">
      <c r="A25" s="97" t="s">
        <v>142</v>
      </c>
      <c r="B25" s="419">
        <v>3675.9207483550599</v>
      </c>
      <c r="C25" s="419">
        <v>2318.62831442076</v>
      </c>
      <c r="D25" s="419">
        <v>2586.0881854666704</v>
      </c>
      <c r="E25" s="419">
        <v>496.08283751310955</v>
      </c>
      <c r="F25" s="420">
        <v>3852.0339768661897</v>
      </c>
      <c r="G25" s="420">
        <v>3456.4524835581597</v>
      </c>
      <c r="H25" s="420">
        <v>-1769.5644488918488</v>
      </c>
      <c r="I25" s="420">
        <v>-2124.5916986897605</v>
      </c>
      <c r="J25" s="332">
        <v>4256.0995800429009</v>
      </c>
      <c r="K25" s="332">
        <v>1110.5928485785989</v>
      </c>
      <c r="L25" s="332">
        <v>-4820.9386294533988</v>
      </c>
      <c r="M25" s="332"/>
      <c r="N25" s="389"/>
      <c r="O25" s="229"/>
    </row>
    <row r="26" spans="1:15" ht="15" customHeight="1">
      <c r="A26" s="120"/>
      <c r="B26" s="187"/>
      <c r="C26" s="187"/>
      <c r="D26" s="187"/>
      <c r="E26" s="187"/>
      <c r="F26" s="408"/>
      <c r="G26" s="408"/>
      <c r="H26" s="408"/>
      <c r="I26" s="408"/>
      <c r="J26" s="403"/>
      <c r="K26" s="403"/>
      <c r="L26" s="403"/>
      <c r="M26" s="330"/>
      <c r="N26" s="389"/>
      <c r="O26" s="229"/>
    </row>
    <row r="27" spans="1:15" ht="15" customHeight="1">
      <c r="A27" s="119" t="s">
        <v>134</v>
      </c>
      <c r="B27" s="187"/>
      <c r="C27" s="187"/>
      <c r="D27" s="187"/>
      <c r="E27" s="187"/>
      <c r="F27" s="408"/>
      <c r="G27" s="408"/>
      <c r="H27" s="408"/>
      <c r="I27" s="408"/>
      <c r="J27" s="330"/>
      <c r="K27" s="330"/>
      <c r="L27" s="330"/>
      <c r="M27" s="330"/>
      <c r="O27" s="229"/>
    </row>
    <row r="28" spans="1:15" ht="15" customHeight="1">
      <c r="A28" s="95" t="s">
        <v>539</v>
      </c>
      <c r="B28" s="467">
        <v>2.4349610535944475</v>
      </c>
      <c r="C28" s="467">
        <v>1.5402837627617356</v>
      </c>
      <c r="D28" s="467">
        <v>1.7223845980341326</v>
      </c>
      <c r="E28" s="467">
        <v>0.33040073555243471</v>
      </c>
      <c r="F28" s="468">
        <v>2.5655289058370747</v>
      </c>
      <c r="G28" s="468">
        <v>2.3020640034528035</v>
      </c>
      <c r="H28" s="468">
        <v>-1.1785640447717669</v>
      </c>
      <c r="I28" s="468">
        <v>-1.4150190389868975</v>
      </c>
      <c r="J28" s="350">
        <v>2.8346443889896151</v>
      </c>
      <c r="K28" s="350">
        <v>0.73967625227499634</v>
      </c>
      <c r="L28" s="350">
        <v>-3.2108380874644884</v>
      </c>
      <c r="M28" s="350"/>
      <c r="O28" s="229"/>
    </row>
    <row r="29" spans="1:15" ht="15" customHeight="1">
      <c r="A29" s="122" t="s">
        <v>540</v>
      </c>
      <c r="B29" s="469">
        <v>2.4322383322125476</v>
      </c>
      <c r="C29" s="469">
        <v>1.5386854438411379</v>
      </c>
      <c r="D29" s="469">
        <v>1.7204105988484144</v>
      </c>
      <c r="E29" s="469">
        <v>0.33019208592623844</v>
      </c>
      <c r="F29" s="470">
        <v>2.5655289058370747</v>
      </c>
      <c r="G29" s="470">
        <v>2.3020640034528035</v>
      </c>
      <c r="H29" s="470">
        <v>-1.1785640447717669</v>
      </c>
      <c r="I29" s="470">
        <v>-1.4150190389868975</v>
      </c>
      <c r="J29" s="351">
        <v>2.8346443889896151</v>
      </c>
      <c r="K29" s="351">
        <v>0.73967625227499634</v>
      </c>
      <c r="L29" s="351">
        <v>-3.2108380874644884</v>
      </c>
      <c r="M29" s="351"/>
      <c r="O29" s="229"/>
    </row>
    <row r="30" spans="1:15" ht="15" customHeight="1">
      <c r="A30" s="93"/>
      <c r="B30" s="93"/>
      <c r="C30" s="93"/>
      <c r="D30" s="93"/>
      <c r="E30" s="93"/>
      <c r="F30" s="93"/>
      <c r="G30" s="93"/>
      <c r="H30" s="93"/>
      <c r="I30" s="93"/>
      <c r="J30" s="93"/>
      <c r="K30" s="93"/>
      <c r="L30" s="93"/>
      <c r="M30" s="93"/>
      <c r="O30" s="229"/>
    </row>
    <row r="31" spans="1:15" ht="15" customHeight="1">
      <c r="A31" s="93"/>
      <c r="B31" s="93"/>
      <c r="C31" s="93"/>
      <c r="D31" s="93"/>
      <c r="E31" s="93"/>
      <c r="F31" s="93"/>
      <c r="G31" s="93"/>
      <c r="H31" s="93"/>
      <c r="I31" s="93"/>
      <c r="J31" s="93"/>
      <c r="K31" s="93"/>
      <c r="L31" s="93"/>
      <c r="M31" s="93"/>
      <c r="O31" s="229"/>
    </row>
    <row r="32" spans="1:15" ht="15" customHeight="1">
      <c r="A32" s="149" t="s">
        <v>725</v>
      </c>
      <c r="B32" s="471"/>
      <c r="C32" s="471"/>
      <c r="D32" s="471"/>
      <c r="E32" s="471"/>
      <c r="F32" s="174"/>
      <c r="G32" s="174"/>
      <c r="H32" s="174"/>
      <c r="I32" s="174"/>
      <c r="J32" s="352"/>
      <c r="K32" s="352"/>
      <c r="L32" s="352"/>
      <c r="M32" s="352"/>
      <c r="O32" s="229"/>
    </row>
    <row r="33" spans="1:15" ht="15" customHeight="1">
      <c r="A33" s="121" t="s">
        <v>390</v>
      </c>
      <c r="B33" s="425"/>
      <c r="C33" s="425"/>
      <c r="D33" s="425"/>
      <c r="E33" s="425"/>
      <c r="F33" s="173"/>
      <c r="G33" s="173"/>
      <c r="H33" s="173"/>
      <c r="I33" s="173"/>
      <c r="J33" s="349"/>
      <c r="K33" s="349"/>
      <c r="L33" s="349"/>
      <c r="M33" s="349"/>
      <c r="O33" s="229"/>
    </row>
    <row r="34" spans="1:15" ht="15" customHeight="1">
      <c r="A34" s="95" t="s">
        <v>726</v>
      </c>
      <c r="B34" s="425">
        <v>1509642523</v>
      </c>
      <c r="C34" s="425">
        <v>1505325428</v>
      </c>
      <c r="D34" s="425">
        <v>1501458030</v>
      </c>
      <c r="E34" s="425">
        <v>1501458030</v>
      </c>
      <c r="F34" s="175">
        <v>1501458030</v>
      </c>
      <c r="G34" s="175">
        <v>1501458030</v>
      </c>
      <c r="H34" s="175">
        <v>1501458030</v>
      </c>
      <c r="I34" s="175">
        <v>1501458030</v>
      </c>
      <c r="J34" s="353">
        <v>1501458030</v>
      </c>
      <c r="K34" s="353">
        <v>1501458030</v>
      </c>
      <c r="L34" s="353">
        <v>1501458030</v>
      </c>
      <c r="M34" s="353"/>
      <c r="O34" s="229"/>
    </row>
    <row r="35" spans="1:15" ht="15" customHeight="1">
      <c r="A35" s="114" t="s">
        <v>727</v>
      </c>
      <c r="B35" s="425">
        <v>1509642523</v>
      </c>
      <c r="C35" s="425">
        <v>1507472049.71823</v>
      </c>
      <c r="D35" s="425">
        <v>1505445347.10256</v>
      </c>
      <c r="E35" s="425">
        <v>1504440324.70959</v>
      </c>
      <c r="F35" s="175">
        <v>1501458030</v>
      </c>
      <c r="G35" s="175">
        <v>1501458030</v>
      </c>
      <c r="H35" s="175">
        <v>1501458030</v>
      </c>
      <c r="I35" s="175">
        <v>1501458030</v>
      </c>
      <c r="J35" s="353">
        <v>1501458030</v>
      </c>
      <c r="K35" s="353">
        <v>1501458030</v>
      </c>
      <c r="L35" s="353">
        <v>1501458030</v>
      </c>
      <c r="M35" s="353"/>
      <c r="O35" s="229"/>
    </row>
    <row r="36" spans="1:15" ht="15" customHeight="1">
      <c r="A36" s="121" t="s">
        <v>391</v>
      </c>
      <c r="B36" s="425"/>
      <c r="C36" s="425"/>
      <c r="D36" s="425"/>
      <c r="E36" s="425"/>
      <c r="F36" s="175"/>
      <c r="G36" s="175"/>
      <c r="H36" s="175"/>
      <c r="I36" s="175"/>
      <c r="J36" s="353"/>
      <c r="K36" s="353"/>
      <c r="L36" s="353"/>
      <c r="M36" s="353"/>
      <c r="O36" s="229"/>
    </row>
    <row r="37" spans="1:15" ht="15" customHeight="1">
      <c r="A37" s="95" t="s">
        <v>726</v>
      </c>
      <c r="B37" s="425">
        <v>1511332462.642</v>
      </c>
      <c r="C37" s="425">
        <v>1506889094</v>
      </c>
      <c r="D37" s="425">
        <v>1503180803</v>
      </c>
      <c r="E37" s="425">
        <v>1502406807</v>
      </c>
      <c r="F37" s="175">
        <v>1501458030</v>
      </c>
      <c r="G37" s="175">
        <v>1501458030</v>
      </c>
      <c r="H37" s="175">
        <v>1501458030</v>
      </c>
      <c r="I37" s="175">
        <v>1501458030</v>
      </c>
      <c r="J37" s="353">
        <v>1501458030</v>
      </c>
      <c r="K37" s="353">
        <v>1501458030</v>
      </c>
      <c r="L37" s="353">
        <v>1501458030</v>
      </c>
      <c r="M37" s="353"/>
      <c r="O37" s="229"/>
    </row>
    <row r="38" spans="1:15" ht="15" customHeight="1">
      <c r="A38" s="114" t="s">
        <v>727</v>
      </c>
      <c r="B38" s="425">
        <v>1511332462.642</v>
      </c>
      <c r="C38" s="425">
        <v>1509035715.71823</v>
      </c>
      <c r="D38" s="425">
        <v>1507168119.60256</v>
      </c>
      <c r="E38" s="425">
        <v>1505389101.70959</v>
      </c>
      <c r="F38" s="175">
        <v>1501458030</v>
      </c>
      <c r="G38" s="175">
        <v>1501458030</v>
      </c>
      <c r="H38" s="175">
        <v>1501458030</v>
      </c>
      <c r="I38" s="175">
        <v>1501458030</v>
      </c>
      <c r="J38" s="353">
        <v>1501458030</v>
      </c>
      <c r="K38" s="353">
        <v>1501458030</v>
      </c>
      <c r="L38" s="353">
        <v>1501458030</v>
      </c>
      <c r="M38" s="353"/>
      <c r="O38" s="229"/>
    </row>
    <row r="39" spans="1:15" ht="15" customHeight="1">
      <c r="A39" s="121" t="s">
        <v>728</v>
      </c>
      <c r="B39" s="425"/>
      <c r="C39" s="425"/>
      <c r="D39" s="425"/>
      <c r="E39" s="425"/>
      <c r="F39" s="175"/>
      <c r="G39" s="175"/>
      <c r="H39" s="175"/>
      <c r="I39" s="175"/>
      <c r="J39" s="353"/>
      <c r="K39" s="353"/>
      <c r="L39" s="353"/>
      <c r="M39" s="353"/>
      <c r="O39" s="229"/>
    </row>
    <row r="40" spans="1:15" ht="15" customHeight="1">
      <c r="A40" s="95"/>
      <c r="B40" s="425"/>
      <c r="C40" s="425"/>
      <c r="D40" s="425"/>
      <c r="E40" s="425"/>
      <c r="F40" s="175"/>
      <c r="G40" s="175"/>
      <c r="H40" s="175"/>
      <c r="I40" s="175"/>
      <c r="J40" s="353"/>
      <c r="K40" s="353"/>
      <c r="L40" s="353"/>
      <c r="M40" s="353"/>
      <c r="O40" s="229"/>
    </row>
    <row r="41" spans="1:15" ht="15" customHeight="1">
      <c r="A41" s="122" t="s">
        <v>392</v>
      </c>
      <c r="B41" s="509">
        <v>1516624271</v>
      </c>
      <c r="C41" s="509">
        <v>1516624271</v>
      </c>
      <c r="D41" s="509">
        <v>1501458030</v>
      </c>
      <c r="E41" s="509">
        <v>1501458030</v>
      </c>
      <c r="F41" s="176">
        <v>1501458030</v>
      </c>
      <c r="G41" s="176">
        <v>1501458030</v>
      </c>
      <c r="H41" s="176">
        <v>1501458030</v>
      </c>
      <c r="I41" s="176">
        <v>1501458030</v>
      </c>
      <c r="J41" s="354">
        <v>1501458030</v>
      </c>
      <c r="K41" s="354">
        <v>1501458030</v>
      </c>
      <c r="L41" s="354">
        <v>1501458030</v>
      </c>
      <c r="M41" s="354"/>
      <c r="O41" s="229"/>
    </row>
    <row r="43" spans="1:15">
      <c r="A43" s="31"/>
    </row>
    <row r="44" spans="1:15">
      <c r="D44" s="405"/>
      <c r="E44" s="405"/>
      <c r="F44" s="405"/>
      <c r="G44" s="405"/>
      <c r="I44" s="405"/>
      <c r="J44" s="405"/>
      <c r="K44" s="405"/>
      <c r="L44" s="405"/>
      <c r="M44" s="405"/>
    </row>
    <row r="45" spans="1:15">
      <c r="H45" s="405"/>
      <c r="I45" s="405"/>
      <c r="J45" s="405"/>
      <c r="K45" s="405"/>
      <c r="L45" s="405"/>
    </row>
    <row r="48" spans="1:15">
      <c r="K48" s="304"/>
    </row>
  </sheetData>
  <mergeCells count="3">
    <mergeCell ref="B4:E4"/>
    <mergeCell ref="F4:I4"/>
    <mergeCell ref="J4:M4"/>
  </mergeCells>
  <phoneticPr fontId="16" type="noConversion"/>
  <pageMargins left="0.4" right="0.36" top="0.984251969" bottom="0.984251969" header="0.5" footer="0.5"/>
  <pageSetup paperSize="9" scale="59" orientation="landscape" r:id="rId1"/>
  <headerFooter alignWithMargins="0"/>
  <customProperties>
    <customPr name="ConnName"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Q62"/>
  <sheetViews>
    <sheetView showGridLines="0" zoomScale="115" zoomScaleNormal="115" workbookViewId="0">
      <pane xSplit="2" ySplit="4" topLeftCell="E5" activePane="bottomRight" state="frozen"/>
      <selection activeCell="C117" sqref="C117"/>
      <selection pane="topRight" activeCell="C117" sqref="C117"/>
      <selection pane="bottomLeft" activeCell="C117" sqref="C117"/>
      <selection pane="bottomRight" activeCell="F42" sqref="F42"/>
    </sheetView>
  </sheetViews>
  <sheetFormatPr defaultColWidth="10.85546875" defaultRowHeight="11.25"/>
  <cols>
    <col min="1" max="1" width="47.7109375" style="432" customWidth="1"/>
    <col min="2" max="2" width="43.42578125" style="432" customWidth="1"/>
    <col min="3" max="3" width="13.140625" style="432" customWidth="1"/>
    <col min="4" max="10" width="14" style="432" customWidth="1"/>
    <col min="11" max="11" width="15.42578125" style="432" customWidth="1"/>
    <col min="12" max="12" width="14.85546875" style="432" customWidth="1"/>
    <col min="13" max="13" width="16.42578125" style="432" customWidth="1"/>
    <col min="14" max="16384" width="10.85546875" style="432"/>
  </cols>
  <sheetData>
    <row r="1" spans="1:17" ht="12" thickBot="1">
      <c r="A1" s="431" t="s">
        <v>657</v>
      </c>
      <c r="B1" s="431"/>
      <c r="C1" s="431" t="s">
        <v>658</v>
      </c>
      <c r="D1" s="431" t="s">
        <v>659</v>
      </c>
      <c r="E1" s="431" t="s">
        <v>660</v>
      </c>
      <c r="F1" s="431" t="s">
        <v>661</v>
      </c>
      <c r="G1" s="431" t="s">
        <v>662</v>
      </c>
      <c r="H1" s="431" t="s">
        <v>663</v>
      </c>
      <c r="I1" s="431" t="s">
        <v>664</v>
      </c>
      <c r="J1" s="431" t="s">
        <v>665</v>
      </c>
      <c r="K1" s="431" t="s">
        <v>666</v>
      </c>
    </row>
    <row r="2" spans="1:17" ht="12" thickTop="1">
      <c r="A2" s="431"/>
      <c r="B2" s="431"/>
      <c r="C2" s="433" t="s">
        <v>164</v>
      </c>
      <c r="D2" s="433" t="s">
        <v>164</v>
      </c>
      <c r="E2" s="433" t="s">
        <v>164</v>
      </c>
      <c r="F2" s="433" t="s">
        <v>164</v>
      </c>
      <c r="G2" s="433" t="s">
        <v>164</v>
      </c>
      <c r="H2" s="433" t="s">
        <v>164</v>
      </c>
      <c r="I2" s="433" t="s">
        <v>164</v>
      </c>
      <c r="J2" s="433" t="s">
        <v>164</v>
      </c>
      <c r="K2" s="433" t="s">
        <v>164</v>
      </c>
      <c r="L2" s="434" t="s">
        <v>667</v>
      </c>
      <c r="M2" s="431"/>
    </row>
    <row r="3" spans="1:17">
      <c r="A3" s="431"/>
      <c r="B3" s="431"/>
      <c r="C3" s="435" t="s">
        <v>668</v>
      </c>
      <c r="D3" s="435" t="s">
        <v>669</v>
      </c>
      <c r="E3" s="435" t="s">
        <v>670</v>
      </c>
      <c r="F3" s="435" t="s">
        <v>671</v>
      </c>
      <c r="G3" s="435" t="s">
        <v>672</v>
      </c>
      <c r="H3" s="435" t="s">
        <v>673</v>
      </c>
      <c r="I3" s="435" t="s">
        <v>674</v>
      </c>
      <c r="J3" s="435" t="s">
        <v>675</v>
      </c>
      <c r="K3" s="435" t="s">
        <v>676</v>
      </c>
      <c r="L3" s="436" t="s">
        <v>677</v>
      </c>
      <c r="M3" s="431"/>
    </row>
    <row r="4" spans="1:17" s="442" customFormat="1" ht="18">
      <c r="A4" s="437"/>
      <c r="B4" s="438" t="s">
        <v>678</v>
      </c>
      <c r="C4" s="439" t="s">
        <v>516</v>
      </c>
      <c r="D4" s="439" t="s">
        <v>516</v>
      </c>
      <c r="E4" s="439" t="s">
        <v>516</v>
      </c>
      <c r="F4" s="439" t="s">
        <v>516</v>
      </c>
      <c r="G4" s="439" t="s">
        <v>516</v>
      </c>
      <c r="H4" s="439" t="s">
        <v>516</v>
      </c>
      <c r="I4" s="439" t="s">
        <v>516</v>
      </c>
      <c r="J4" s="439" t="s">
        <v>516</v>
      </c>
      <c r="K4" s="439" t="s">
        <v>516</v>
      </c>
      <c r="L4" s="440" t="s">
        <v>516</v>
      </c>
      <c r="M4" s="441" t="s">
        <v>679</v>
      </c>
    </row>
    <row r="5" spans="1:17" s="442" customFormat="1">
      <c r="A5" s="437"/>
      <c r="B5" s="443"/>
      <c r="C5" s="443"/>
      <c r="D5" s="443"/>
      <c r="E5" s="443"/>
      <c r="F5" s="443"/>
      <c r="G5" s="443"/>
      <c r="H5" s="443"/>
      <c r="I5" s="443"/>
      <c r="J5" s="443"/>
      <c r="K5" s="444"/>
      <c r="L5" s="445"/>
      <c r="M5" s="437"/>
    </row>
    <row r="6" spans="1:17" s="442" customFormat="1">
      <c r="A6" s="437"/>
      <c r="B6" s="443" t="s">
        <v>680</v>
      </c>
      <c r="C6" s="443"/>
      <c r="D6" s="443"/>
      <c r="E6" s="443"/>
      <c r="F6" s="443"/>
      <c r="G6" s="443"/>
      <c r="H6" s="443"/>
      <c r="I6" s="443"/>
      <c r="J6" s="443"/>
      <c r="K6" s="444"/>
      <c r="L6" s="445"/>
      <c r="M6" s="437"/>
    </row>
    <row r="7" spans="1:17" s="448" customFormat="1" ht="12" customHeight="1">
      <c r="A7" s="446" t="s">
        <v>681</v>
      </c>
      <c r="B7" s="441" t="s">
        <v>682</v>
      </c>
      <c r="C7" s="441">
        <v>1439533</v>
      </c>
      <c r="D7" s="441">
        <v>699533</v>
      </c>
      <c r="E7" s="441">
        <v>699533</v>
      </c>
      <c r="F7" s="441">
        <v>791039</v>
      </c>
      <c r="G7" s="441">
        <v>0</v>
      </c>
      <c r="H7" s="441">
        <v>0</v>
      </c>
      <c r="I7" s="441">
        <v>909209.72</v>
      </c>
      <c r="J7" s="441">
        <v>1159792.1299999999</v>
      </c>
      <c r="K7" s="444">
        <v>0</v>
      </c>
      <c r="L7" s="445">
        <v>2069001.85</v>
      </c>
      <c r="M7" s="441" t="s">
        <v>683</v>
      </c>
      <c r="N7" s="447"/>
      <c r="O7" s="447"/>
      <c r="P7" s="447"/>
      <c r="Q7" s="447"/>
    </row>
    <row r="8" spans="1:17" s="448" customFormat="1" ht="12" customHeight="1">
      <c r="A8" s="449"/>
      <c r="B8" s="441" t="s">
        <v>684</v>
      </c>
      <c r="C8" s="441">
        <v>753700</v>
      </c>
      <c r="D8" s="441">
        <v>743961.79</v>
      </c>
      <c r="E8" s="441">
        <v>795087</v>
      </c>
      <c r="F8" s="441">
        <v>891806.5</v>
      </c>
      <c r="G8" s="441">
        <v>969342.5</v>
      </c>
      <c r="H8" s="441">
        <v>967530.5</v>
      </c>
      <c r="I8" s="441">
        <v>1019613.25</v>
      </c>
      <c r="J8" s="441">
        <v>1091125</v>
      </c>
      <c r="K8" s="444">
        <v>0</v>
      </c>
      <c r="L8" s="445">
        <v>4047611.25</v>
      </c>
      <c r="M8" s="441" t="s">
        <v>683</v>
      </c>
      <c r="N8" s="447"/>
      <c r="O8" s="447"/>
      <c r="P8" s="447"/>
      <c r="Q8" s="447"/>
    </row>
    <row r="9" spans="1:17" s="448" customFormat="1" ht="12" customHeight="1">
      <c r="A9" s="449"/>
      <c r="B9" s="441"/>
      <c r="C9" s="450">
        <f>SUM(C7:C8)</f>
        <v>2193233</v>
      </c>
      <c r="D9" s="450">
        <f t="shared" ref="D9:L9" si="0">SUM(D7:D8)</f>
        <v>1443494.79</v>
      </c>
      <c r="E9" s="450">
        <f t="shared" si="0"/>
        <v>1494620</v>
      </c>
      <c r="F9" s="450">
        <f t="shared" si="0"/>
        <v>1682845.5</v>
      </c>
      <c r="G9" s="450">
        <f t="shared" si="0"/>
        <v>969342.5</v>
      </c>
      <c r="H9" s="450">
        <f t="shared" si="0"/>
        <v>967530.5</v>
      </c>
      <c r="I9" s="450">
        <f t="shared" si="0"/>
        <v>1928822.97</v>
      </c>
      <c r="J9" s="450">
        <f t="shared" si="0"/>
        <v>2250917.13</v>
      </c>
      <c r="K9" s="451">
        <f t="shared" si="0"/>
        <v>0</v>
      </c>
      <c r="L9" s="452">
        <f t="shared" si="0"/>
        <v>6116613.0999999996</v>
      </c>
      <c r="M9" s="441"/>
      <c r="N9" s="447"/>
      <c r="O9" s="447"/>
      <c r="P9" s="447"/>
      <c r="Q9" s="447"/>
    </row>
    <row r="10" spans="1:17" s="448" customFormat="1" ht="14.45" customHeight="1">
      <c r="A10" s="449"/>
      <c r="B10" s="431" t="s">
        <v>685</v>
      </c>
      <c r="C10" s="431" t="s">
        <v>686</v>
      </c>
      <c r="D10" s="431" t="s">
        <v>686</v>
      </c>
      <c r="E10" s="431" t="s">
        <v>686</v>
      </c>
      <c r="F10" s="431" t="s">
        <v>686</v>
      </c>
      <c r="G10" s="431" t="s">
        <v>686</v>
      </c>
      <c r="H10" s="431" t="s">
        <v>686</v>
      </c>
      <c r="I10" s="431" t="s">
        <v>686</v>
      </c>
      <c r="J10" s="431" t="s">
        <v>686</v>
      </c>
      <c r="K10" s="453">
        <v>66531301.7447</v>
      </c>
      <c r="L10" s="454" t="s">
        <v>686</v>
      </c>
      <c r="M10" s="455" t="s">
        <v>48</v>
      </c>
    </row>
    <row r="11" spans="1:17" ht="12.75" customHeight="1">
      <c r="A11" s="431"/>
      <c r="B11" s="431" t="s">
        <v>687</v>
      </c>
      <c r="C11" s="431">
        <v>104713482.9465</v>
      </c>
      <c r="D11" s="431">
        <v>124570636.7252</v>
      </c>
      <c r="E11" s="431">
        <v>125941959.98949996</v>
      </c>
      <c r="F11" s="431">
        <v>133013619.85730001</v>
      </c>
      <c r="G11" s="431">
        <v>127101495.83180001</v>
      </c>
      <c r="H11" s="431">
        <v>127147771.2049</v>
      </c>
      <c r="I11" s="431">
        <v>136201850.77450001</v>
      </c>
      <c r="J11" s="431">
        <v>146462324.94909999</v>
      </c>
      <c r="K11" s="456">
        <v>153068872.11559999</v>
      </c>
      <c r="L11" s="454">
        <v>536913442.76030004</v>
      </c>
      <c r="M11" s="455" t="s">
        <v>48</v>
      </c>
    </row>
    <row r="12" spans="1:17" s="460" customFormat="1">
      <c r="A12" s="443"/>
      <c r="B12" s="457" t="s">
        <v>688</v>
      </c>
      <c r="C12" s="457">
        <f>SUM(C9:C11)</f>
        <v>106906715.9465</v>
      </c>
      <c r="D12" s="457">
        <f t="shared" ref="D12:L12" si="1">SUM(D9:D11)</f>
        <v>126014131.5152</v>
      </c>
      <c r="E12" s="457">
        <f t="shared" si="1"/>
        <v>127436579.98949996</v>
      </c>
      <c r="F12" s="457">
        <f t="shared" si="1"/>
        <v>134696465.35730001</v>
      </c>
      <c r="G12" s="457">
        <f t="shared" si="1"/>
        <v>128070838.33180001</v>
      </c>
      <c r="H12" s="457">
        <f t="shared" si="1"/>
        <v>128115301.7049</v>
      </c>
      <c r="I12" s="457">
        <f t="shared" si="1"/>
        <v>138130673.74450001</v>
      </c>
      <c r="J12" s="457">
        <f t="shared" si="1"/>
        <v>148713242.07909998</v>
      </c>
      <c r="K12" s="458">
        <f t="shared" si="1"/>
        <v>219600173.8603</v>
      </c>
      <c r="L12" s="458">
        <f t="shared" si="1"/>
        <v>543030055.86030006</v>
      </c>
      <c r="M12" s="459"/>
    </row>
    <row r="13" spans="1:17" s="464" customFormat="1">
      <c r="A13" s="461"/>
      <c r="B13" s="461" t="s">
        <v>689</v>
      </c>
      <c r="C13" s="461"/>
      <c r="D13" s="461"/>
      <c r="E13" s="461"/>
      <c r="F13" s="461"/>
      <c r="G13" s="461"/>
      <c r="H13" s="461"/>
      <c r="I13" s="461"/>
      <c r="J13" s="461"/>
      <c r="K13" s="462"/>
      <c r="L13" s="462"/>
      <c r="M13" s="463"/>
    </row>
    <row r="14" spans="1:17" s="448" customFormat="1" ht="12" customHeight="1">
      <c r="A14" s="446" t="s">
        <v>690</v>
      </c>
      <c r="B14" s="441" t="s">
        <v>682</v>
      </c>
      <c r="C14" s="441" t="s">
        <v>686</v>
      </c>
      <c r="D14" s="441" t="s">
        <v>686</v>
      </c>
      <c r="E14" s="441" t="s">
        <v>686</v>
      </c>
      <c r="F14" s="441" t="s">
        <v>686</v>
      </c>
      <c r="G14" s="441" t="s">
        <v>686</v>
      </c>
      <c r="H14" s="441" t="s">
        <v>686</v>
      </c>
      <c r="I14" s="441" t="s">
        <v>686</v>
      </c>
      <c r="J14" s="441" t="s">
        <v>686</v>
      </c>
      <c r="K14" s="445" t="s">
        <v>686</v>
      </c>
      <c r="L14" s="445">
        <v>0</v>
      </c>
      <c r="M14" s="441" t="s">
        <v>683</v>
      </c>
      <c r="N14" s="447"/>
      <c r="O14" s="447"/>
      <c r="P14" s="447"/>
      <c r="Q14" s="447"/>
    </row>
    <row r="15" spans="1:17" s="448" customFormat="1" ht="12" customHeight="1">
      <c r="A15" s="449"/>
      <c r="B15" s="441" t="s">
        <v>684</v>
      </c>
      <c r="C15" s="441" t="s">
        <v>686</v>
      </c>
      <c r="D15" s="441" t="s">
        <v>686</v>
      </c>
      <c r="E15" s="441" t="s">
        <v>686</v>
      </c>
      <c r="F15" s="441" t="s">
        <v>686</v>
      </c>
      <c r="G15" s="441" t="s">
        <v>686</v>
      </c>
      <c r="H15" s="441" t="s">
        <v>686</v>
      </c>
      <c r="I15" s="441" t="s">
        <v>686</v>
      </c>
      <c r="J15" s="441" t="s">
        <v>686</v>
      </c>
      <c r="K15" s="445" t="s">
        <v>686</v>
      </c>
      <c r="L15" s="445" t="s">
        <v>686</v>
      </c>
      <c r="M15" s="441" t="s">
        <v>683</v>
      </c>
      <c r="N15" s="447"/>
      <c r="O15" s="447"/>
      <c r="P15" s="447"/>
      <c r="Q15" s="447"/>
    </row>
    <row r="16" spans="1:17" s="448" customFormat="1" ht="12" customHeight="1">
      <c r="A16" s="449"/>
      <c r="B16" s="441"/>
      <c r="C16" s="450">
        <f>SUM(C14:C15)</f>
        <v>0</v>
      </c>
      <c r="D16" s="450">
        <f t="shared" ref="D16:L16" si="2">SUM(D14:D15)</f>
        <v>0</v>
      </c>
      <c r="E16" s="450">
        <f t="shared" si="2"/>
        <v>0</v>
      </c>
      <c r="F16" s="450">
        <f t="shared" si="2"/>
        <v>0</v>
      </c>
      <c r="G16" s="450">
        <f t="shared" si="2"/>
        <v>0</v>
      </c>
      <c r="H16" s="450">
        <f t="shared" si="2"/>
        <v>0</v>
      </c>
      <c r="I16" s="450">
        <f t="shared" si="2"/>
        <v>0</v>
      </c>
      <c r="J16" s="450">
        <f t="shared" si="2"/>
        <v>0</v>
      </c>
      <c r="K16" s="451">
        <f t="shared" si="2"/>
        <v>0</v>
      </c>
      <c r="L16" s="452">
        <f t="shared" si="2"/>
        <v>0</v>
      </c>
      <c r="M16" s="441"/>
      <c r="N16" s="447"/>
      <c r="O16" s="447"/>
      <c r="P16" s="447"/>
      <c r="Q16" s="447"/>
    </row>
    <row r="17" spans="1:17" s="448" customFormat="1" ht="14.45" customHeight="1">
      <c r="A17" s="449"/>
      <c r="B17" s="431" t="s">
        <v>685</v>
      </c>
      <c r="C17" s="431" t="s">
        <v>686</v>
      </c>
      <c r="D17" s="431" t="s">
        <v>686</v>
      </c>
      <c r="E17" s="431" t="s">
        <v>686</v>
      </c>
      <c r="F17" s="431" t="s">
        <v>686</v>
      </c>
      <c r="G17" s="431" t="s">
        <v>686</v>
      </c>
      <c r="H17" s="431" t="s">
        <v>686</v>
      </c>
      <c r="I17" s="431" t="s">
        <v>686</v>
      </c>
      <c r="J17" s="431" t="s">
        <v>686</v>
      </c>
      <c r="K17" s="453">
        <v>-39720308.846799999</v>
      </c>
      <c r="L17" s="454" t="s">
        <v>686</v>
      </c>
      <c r="M17" s="455" t="s">
        <v>48</v>
      </c>
    </row>
    <row r="18" spans="1:17" s="448" customFormat="1" ht="12.75" customHeight="1">
      <c r="A18" s="449"/>
      <c r="B18" s="431" t="s">
        <v>687</v>
      </c>
      <c r="C18" s="431">
        <v>-23555635.8574</v>
      </c>
      <c r="D18" s="431">
        <v>-25912965.893600002</v>
      </c>
      <c r="E18" s="431">
        <v>-29484895.214700013</v>
      </c>
      <c r="F18" s="431">
        <v>-41286396.740699999</v>
      </c>
      <c r="G18" s="431">
        <v>-32672222.550399996</v>
      </c>
      <c r="H18" s="431">
        <v>-35161408.551100001</v>
      </c>
      <c r="I18" s="431">
        <v>-38077636.842599981</v>
      </c>
      <c r="J18" s="431">
        <v>-39337265.6351</v>
      </c>
      <c r="K18" s="456">
        <v>-43602400.771600001</v>
      </c>
      <c r="L18" s="454">
        <v>-145248533.57919997</v>
      </c>
      <c r="M18" s="455" t="s">
        <v>48</v>
      </c>
    </row>
    <row r="19" spans="1:17" s="460" customFormat="1">
      <c r="A19" s="443"/>
      <c r="B19" s="457" t="s">
        <v>691</v>
      </c>
      <c r="C19" s="457">
        <f>SUM(C16:C18)</f>
        <v>-23555635.8574</v>
      </c>
      <c r="D19" s="457">
        <f t="shared" ref="D19:L19" si="3">SUM(D16:D18)</f>
        <v>-25912965.893600002</v>
      </c>
      <c r="E19" s="457">
        <f t="shared" si="3"/>
        <v>-29484895.214700013</v>
      </c>
      <c r="F19" s="457">
        <f t="shared" si="3"/>
        <v>-41286396.740699999</v>
      </c>
      <c r="G19" s="457">
        <f t="shared" si="3"/>
        <v>-32672222.550399996</v>
      </c>
      <c r="H19" s="457">
        <f t="shared" si="3"/>
        <v>-35161408.551100001</v>
      </c>
      <c r="I19" s="457">
        <f t="shared" si="3"/>
        <v>-38077636.842599981</v>
      </c>
      <c r="J19" s="457">
        <f t="shared" si="3"/>
        <v>-39337265.6351</v>
      </c>
      <c r="K19" s="458">
        <f t="shared" si="3"/>
        <v>-83322709.618400007</v>
      </c>
      <c r="L19" s="458">
        <f t="shared" si="3"/>
        <v>-145248533.57919997</v>
      </c>
      <c r="M19" s="459"/>
    </row>
    <row r="20" spans="1:17" ht="12.75" customHeight="1">
      <c r="A20" s="431"/>
      <c r="B20" s="459" t="s">
        <v>692</v>
      </c>
      <c r="C20" s="459"/>
      <c r="D20" s="459"/>
      <c r="E20" s="459"/>
      <c r="F20" s="459"/>
      <c r="G20" s="459"/>
      <c r="H20" s="459"/>
      <c r="I20" s="459"/>
      <c r="J20" s="459"/>
      <c r="K20" s="453"/>
      <c r="L20" s="454"/>
    </row>
    <row r="21" spans="1:17" s="448" customFormat="1" ht="12" customHeight="1">
      <c r="A21" s="446" t="s">
        <v>693</v>
      </c>
      <c r="B21" s="441" t="s">
        <v>682</v>
      </c>
      <c r="C21" s="441">
        <v>-5587902.5399999991</v>
      </c>
      <c r="D21" s="441">
        <v>-4162627.3499999996</v>
      </c>
      <c r="E21" s="441">
        <v>4624322.6199999992</v>
      </c>
      <c r="F21" s="441">
        <v>-4187708.29</v>
      </c>
      <c r="G21" s="441">
        <v>-4286841.4699999988</v>
      </c>
      <c r="H21" s="441">
        <v>-14473010.219999999</v>
      </c>
      <c r="I21" s="441">
        <v>-33033888.909999996</v>
      </c>
      <c r="J21" s="441">
        <v>-48809664.549999997</v>
      </c>
      <c r="K21" s="444">
        <v>-38100376.420000002</v>
      </c>
      <c r="L21" s="445">
        <v>-100603405.15000001</v>
      </c>
      <c r="M21" s="441" t="s">
        <v>683</v>
      </c>
      <c r="N21" s="447"/>
      <c r="O21" s="447"/>
      <c r="P21" s="447"/>
      <c r="Q21" s="447"/>
    </row>
    <row r="22" spans="1:17" s="448" customFormat="1" ht="12" customHeight="1">
      <c r="A22" s="449"/>
      <c r="B22" s="441" t="s">
        <v>684</v>
      </c>
      <c r="C22" s="441">
        <v>-2621850.0299999998</v>
      </c>
      <c r="D22" s="441">
        <v>-302482.05000000075</v>
      </c>
      <c r="E22" s="441">
        <v>-3291737.6800000006</v>
      </c>
      <c r="F22" s="441">
        <v>-5212405.75</v>
      </c>
      <c r="G22" s="441">
        <v>-2163291.1900000004</v>
      </c>
      <c r="H22" s="441">
        <v>-5382634.25</v>
      </c>
      <c r="I22" s="441">
        <v>-3537114.28</v>
      </c>
      <c r="J22" s="441">
        <v>-4299261.12</v>
      </c>
      <c r="K22" s="444">
        <v>-1820012.6099999992</v>
      </c>
      <c r="L22" s="445">
        <v>-15382300.84</v>
      </c>
      <c r="M22" s="441" t="s">
        <v>683</v>
      </c>
      <c r="N22" s="447"/>
      <c r="O22" s="447"/>
      <c r="P22" s="447"/>
      <c r="Q22" s="447"/>
    </row>
    <row r="23" spans="1:17" s="448" customFormat="1" ht="12" customHeight="1">
      <c r="A23" s="449"/>
      <c r="B23" s="441"/>
      <c r="C23" s="450">
        <f>SUM(C21:C22)</f>
        <v>-8209752.5699999984</v>
      </c>
      <c r="D23" s="450">
        <f t="shared" ref="D23:L23" si="4">SUM(D21:D22)</f>
        <v>-4465109.4000000004</v>
      </c>
      <c r="E23" s="450">
        <f t="shared" si="4"/>
        <v>1332584.9399999985</v>
      </c>
      <c r="F23" s="450">
        <f t="shared" si="4"/>
        <v>-9400114.0399999991</v>
      </c>
      <c r="G23" s="450">
        <f t="shared" si="4"/>
        <v>-6450132.6599999992</v>
      </c>
      <c r="H23" s="450">
        <f t="shared" si="4"/>
        <v>-19855644.469999999</v>
      </c>
      <c r="I23" s="450">
        <f t="shared" si="4"/>
        <v>-36571003.189999998</v>
      </c>
      <c r="J23" s="450">
        <f t="shared" si="4"/>
        <v>-53108925.669999994</v>
      </c>
      <c r="K23" s="451">
        <f t="shared" si="4"/>
        <v>-39920389.030000001</v>
      </c>
      <c r="L23" s="452">
        <f t="shared" si="4"/>
        <v>-115985705.99000001</v>
      </c>
      <c r="M23" s="441"/>
      <c r="N23" s="447"/>
      <c r="O23" s="447"/>
      <c r="P23" s="447"/>
      <c r="Q23" s="447"/>
    </row>
    <row r="24" spans="1:17" s="448" customFormat="1" ht="14.45" customHeight="1">
      <c r="A24" s="449"/>
      <c r="B24" s="431" t="s">
        <v>685</v>
      </c>
      <c r="C24" s="431" t="s">
        <v>686</v>
      </c>
      <c r="D24" s="431" t="s">
        <v>686</v>
      </c>
      <c r="E24" s="431" t="s">
        <v>686</v>
      </c>
      <c r="F24" s="431" t="s">
        <v>686</v>
      </c>
      <c r="G24" s="431" t="s">
        <v>686</v>
      </c>
      <c r="H24" s="431" t="s">
        <v>686</v>
      </c>
      <c r="I24" s="431" t="s">
        <v>686</v>
      </c>
      <c r="J24" s="431" t="s">
        <v>686</v>
      </c>
      <c r="K24" s="453">
        <v>-41210799.508500002</v>
      </c>
      <c r="L24" s="454" t="s">
        <v>686</v>
      </c>
      <c r="M24" s="455" t="s">
        <v>48</v>
      </c>
    </row>
    <row r="25" spans="1:17" s="448" customFormat="1" ht="15" customHeight="1">
      <c r="A25" s="449"/>
      <c r="B25" s="431" t="s">
        <v>687</v>
      </c>
      <c r="C25" s="431">
        <v>-29673854.426199999</v>
      </c>
      <c r="D25" s="431">
        <v>-30819410.121300001</v>
      </c>
      <c r="E25" s="431">
        <v>-27238053.075499993</v>
      </c>
      <c r="F25" s="431">
        <v>-28343656.942000002</v>
      </c>
      <c r="G25" s="431">
        <v>-36151402.486900002</v>
      </c>
      <c r="H25" s="431">
        <v>-37379842.432300001</v>
      </c>
      <c r="I25" s="431">
        <v>-37779893.292999998</v>
      </c>
      <c r="J25" s="431">
        <v>-42293791.958099999</v>
      </c>
      <c r="K25" s="456">
        <v>-44156727.637699999</v>
      </c>
      <c r="L25" s="454">
        <v>-153604930.17029998</v>
      </c>
      <c r="M25" s="455" t="s">
        <v>48</v>
      </c>
    </row>
    <row r="26" spans="1:17" s="460" customFormat="1">
      <c r="A26" s="443"/>
      <c r="B26" s="457" t="s">
        <v>694</v>
      </c>
      <c r="C26" s="457">
        <f>SUM(C23:C25)</f>
        <v>-37883606.996199995</v>
      </c>
      <c r="D26" s="457">
        <f t="shared" ref="D26:L26" si="5">SUM(D23:D25)</f>
        <v>-35284519.521300003</v>
      </c>
      <c r="E26" s="457">
        <f t="shared" si="5"/>
        <v>-25905468.135499995</v>
      </c>
      <c r="F26" s="457">
        <f t="shared" si="5"/>
        <v>-37743770.982000001</v>
      </c>
      <c r="G26" s="457">
        <f t="shared" si="5"/>
        <v>-42601535.146899998</v>
      </c>
      <c r="H26" s="457">
        <f t="shared" si="5"/>
        <v>-57235486.9023</v>
      </c>
      <c r="I26" s="457">
        <f t="shared" si="5"/>
        <v>-74350896.482999995</v>
      </c>
      <c r="J26" s="457">
        <f t="shared" si="5"/>
        <v>-95402717.628099993</v>
      </c>
      <c r="K26" s="458">
        <f t="shared" si="5"/>
        <v>-125287916.1762</v>
      </c>
      <c r="L26" s="458">
        <f t="shared" si="5"/>
        <v>-269590636.16030002</v>
      </c>
      <c r="M26" s="459"/>
    </row>
    <row r="27" spans="1:17" s="464" customFormat="1">
      <c r="A27" s="461"/>
      <c r="B27" s="461" t="s">
        <v>695</v>
      </c>
      <c r="C27" s="461"/>
      <c r="D27" s="461"/>
      <c r="E27" s="461"/>
      <c r="F27" s="461"/>
      <c r="G27" s="461"/>
      <c r="H27" s="461"/>
      <c r="I27" s="461"/>
      <c r="J27" s="461"/>
      <c r="K27" s="462"/>
      <c r="L27" s="462"/>
      <c r="M27" s="463"/>
    </row>
    <row r="28" spans="1:17" s="448" customFormat="1" ht="12" customHeight="1">
      <c r="A28" s="465" t="s">
        <v>696</v>
      </c>
      <c r="B28" s="441" t="s">
        <v>682</v>
      </c>
      <c r="C28" s="441">
        <v>-4148369.5399999991</v>
      </c>
      <c r="D28" s="441">
        <v>-3463094.3499999996</v>
      </c>
      <c r="E28" s="441">
        <v>5323855.6199999992</v>
      </c>
      <c r="F28" s="441">
        <v>-3396669.29</v>
      </c>
      <c r="G28" s="441">
        <v>-4286841.4699999988</v>
      </c>
      <c r="H28" s="441">
        <v>-14473010.219999999</v>
      </c>
      <c r="I28" s="441">
        <v>-32124679.189999998</v>
      </c>
      <c r="J28" s="441">
        <v>-47649872.420000002</v>
      </c>
      <c r="K28" s="444">
        <v>-38100376.420000002</v>
      </c>
      <c r="L28" s="445">
        <v>-98534403.299999997</v>
      </c>
      <c r="M28" s="441" t="s">
        <v>683</v>
      </c>
      <c r="N28" s="447"/>
      <c r="O28" s="447"/>
      <c r="P28" s="447"/>
      <c r="Q28" s="447"/>
    </row>
    <row r="29" spans="1:17" s="448" customFormat="1" ht="12" customHeight="1">
      <c r="A29" s="449"/>
      <c r="B29" s="441" t="s">
        <v>684</v>
      </c>
      <c r="C29" s="441">
        <v>-1868150.0299999998</v>
      </c>
      <c r="D29" s="441">
        <v>441479.73999999953</v>
      </c>
      <c r="E29" s="441">
        <v>-2496650.6800000006</v>
      </c>
      <c r="F29" s="441">
        <v>-4320599.25</v>
      </c>
      <c r="G29" s="441">
        <v>-1193948.6900000004</v>
      </c>
      <c r="H29" s="441">
        <v>-4415103.75</v>
      </c>
      <c r="I29" s="441">
        <v>-2517501.0299999998</v>
      </c>
      <c r="J29" s="441">
        <v>-3208136.12</v>
      </c>
      <c r="K29" s="444">
        <v>-1820012.6099999992</v>
      </c>
      <c r="L29" s="445">
        <v>-11334689.59</v>
      </c>
      <c r="M29" s="441" t="s">
        <v>683</v>
      </c>
      <c r="N29" s="447"/>
      <c r="O29" s="447"/>
      <c r="P29" s="447"/>
      <c r="Q29" s="447"/>
    </row>
    <row r="30" spans="1:17" s="448" customFormat="1" ht="12" customHeight="1">
      <c r="A30" s="449"/>
      <c r="B30" s="441"/>
      <c r="C30" s="450">
        <f>SUM(C28:C29)</f>
        <v>-6016519.5699999984</v>
      </c>
      <c r="D30" s="450">
        <f t="shared" ref="D30:L30" si="6">SUM(D28:D29)</f>
        <v>-3021614.6100000003</v>
      </c>
      <c r="E30" s="450">
        <f t="shared" si="6"/>
        <v>2827204.9399999985</v>
      </c>
      <c r="F30" s="450">
        <f t="shared" si="6"/>
        <v>-7717268.54</v>
      </c>
      <c r="G30" s="450">
        <f t="shared" si="6"/>
        <v>-5480790.1599999992</v>
      </c>
      <c r="H30" s="450">
        <f t="shared" si="6"/>
        <v>-18888113.969999999</v>
      </c>
      <c r="I30" s="450">
        <f t="shared" si="6"/>
        <v>-34642180.219999999</v>
      </c>
      <c r="J30" s="450">
        <f t="shared" si="6"/>
        <v>-50858008.539999999</v>
      </c>
      <c r="K30" s="451">
        <f t="shared" si="6"/>
        <v>-39920389.030000001</v>
      </c>
      <c r="L30" s="452">
        <f t="shared" si="6"/>
        <v>-109869092.89</v>
      </c>
      <c r="M30" s="441"/>
      <c r="N30" s="447"/>
      <c r="O30" s="447"/>
      <c r="P30" s="447"/>
      <c r="Q30" s="447"/>
    </row>
    <row r="31" spans="1:17" s="448" customFormat="1" ht="14.45" customHeight="1">
      <c r="A31" s="449"/>
      <c r="B31" s="431" t="s">
        <v>685</v>
      </c>
      <c r="C31" s="431" t="s">
        <v>686</v>
      </c>
      <c r="D31" s="431" t="s">
        <v>686</v>
      </c>
      <c r="E31" s="431" t="s">
        <v>686</v>
      </c>
      <c r="F31" s="431" t="s">
        <v>686</v>
      </c>
      <c r="G31" s="431" t="s">
        <v>686</v>
      </c>
      <c r="H31" s="431" t="s">
        <v>686</v>
      </c>
      <c r="I31" s="431" t="s">
        <v>686</v>
      </c>
      <c r="J31" s="431" t="s">
        <v>686</v>
      </c>
      <c r="K31" s="453">
        <v>-14399806.610600004</v>
      </c>
      <c r="L31" s="454" t="s">
        <v>686</v>
      </c>
      <c r="M31" s="455" t="s">
        <v>48</v>
      </c>
    </row>
    <row r="32" spans="1:17" s="448" customFormat="1" ht="14.25" customHeight="1">
      <c r="A32" s="449"/>
      <c r="B32" s="431" t="s">
        <v>687</v>
      </c>
      <c r="C32" s="431">
        <v>51483992.662899986</v>
      </c>
      <c r="D32" s="431">
        <v>67838260.710299999</v>
      </c>
      <c r="E32" s="431">
        <v>69219011.699299961</v>
      </c>
      <c r="F32" s="431">
        <v>63383566.174600013</v>
      </c>
      <c r="G32" s="431">
        <v>58277870.794500008</v>
      </c>
      <c r="H32" s="431">
        <v>54606520.221500002</v>
      </c>
      <c r="I32" s="431">
        <v>60344320.638900042</v>
      </c>
      <c r="J32" s="431">
        <v>64831267.355899997</v>
      </c>
      <c r="K32" s="456">
        <v>65309743.706299976</v>
      </c>
      <c r="L32" s="454">
        <v>238059979.01080006</v>
      </c>
      <c r="M32" s="455" t="s">
        <v>48</v>
      </c>
    </row>
    <row r="33" spans="1:13" s="460" customFormat="1">
      <c r="A33" s="443"/>
      <c r="B33" s="457" t="s">
        <v>697</v>
      </c>
      <c r="C33" s="457">
        <f>SUM(C30:C32)</f>
        <v>45467473.092899986</v>
      </c>
      <c r="D33" s="457">
        <f t="shared" ref="D33:L33" si="7">SUM(D30:D32)</f>
        <v>64816646.100299999</v>
      </c>
      <c r="E33" s="457">
        <f t="shared" si="7"/>
        <v>72046216.639299959</v>
      </c>
      <c r="F33" s="457">
        <f t="shared" si="7"/>
        <v>55666297.634600013</v>
      </c>
      <c r="G33" s="457">
        <f t="shared" si="7"/>
        <v>52797080.634500012</v>
      </c>
      <c r="H33" s="457">
        <f t="shared" si="7"/>
        <v>35718406.251500003</v>
      </c>
      <c r="I33" s="457">
        <f t="shared" si="7"/>
        <v>25702140.418900043</v>
      </c>
      <c r="J33" s="457">
        <f t="shared" si="7"/>
        <v>13973258.815899998</v>
      </c>
      <c r="K33" s="458">
        <f t="shared" si="7"/>
        <v>10989548.065699972</v>
      </c>
      <c r="L33" s="458">
        <f t="shared" si="7"/>
        <v>128190886.12080006</v>
      </c>
      <c r="M33" s="459"/>
    </row>
    <row r="34" spans="1:13">
      <c r="B34" s="431"/>
      <c r="C34" s="431"/>
      <c r="D34" s="431"/>
      <c r="E34" s="431"/>
      <c r="F34" s="431"/>
      <c r="G34" s="431"/>
      <c r="H34" s="431"/>
      <c r="I34" s="431"/>
      <c r="J34" s="431"/>
    </row>
    <row r="37" spans="1:13">
      <c r="A37" s="431"/>
      <c r="B37" s="466" t="s">
        <v>700</v>
      </c>
      <c r="C37" s="431"/>
      <c r="D37" s="431"/>
      <c r="E37" s="431"/>
      <c r="F37" s="431"/>
      <c r="G37" s="431"/>
      <c r="H37" s="431"/>
      <c r="I37" s="431"/>
      <c r="J37" s="431"/>
    </row>
    <row r="38" spans="1:13">
      <c r="B38" s="431" t="s">
        <v>698</v>
      </c>
      <c r="C38" s="431">
        <f>C9/1000000</f>
        <v>2.1932330000000002</v>
      </c>
      <c r="D38" s="431">
        <f t="shared" ref="D38:K38" si="8">D9/1000000</f>
        <v>1.4434947900000001</v>
      </c>
      <c r="E38" s="431">
        <f t="shared" si="8"/>
        <v>1.4946200000000001</v>
      </c>
      <c r="F38" s="431">
        <f t="shared" si="8"/>
        <v>1.6828455</v>
      </c>
      <c r="G38" s="431">
        <f t="shared" si="8"/>
        <v>0.9693425</v>
      </c>
      <c r="H38" s="431">
        <f t="shared" si="8"/>
        <v>0.96753049999999996</v>
      </c>
      <c r="I38" s="431">
        <f t="shared" si="8"/>
        <v>1.9288229699999999</v>
      </c>
      <c r="J38" s="431">
        <f t="shared" si="8"/>
        <v>2.2509171299999999</v>
      </c>
      <c r="K38" s="431">
        <f t="shared" si="8"/>
        <v>0</v>
      </c>
      <c r="L38" s="431">
        <f t="shared" ref="L38" si="9">L9/1000000</f>
        <v>6.1166130999999995</v>
      </c>
      <c r="M38" s="432">
        <f>L38-SUM(G38:J38)</f>
        <v>0</v>
      </c>
    </row>
    <row r="39" spans="1:13">
      <c r="B39" s="431" t="s">
        <v>699</v>
      </c>
      <c r="C39" s="431">
        <f>C30/1000000</f>
        <v>-6.016519569999998</v>
      </c>
      <c r="D39" s="431">
        <f t="shared" ref="D39:K39" si="10">D30/1000000</f>
        <v>-3.0216146100000003</v>
      </c>
      <c r="E39" s="431">
        <f t="shared" si="10"/>
        <v>2.8272049399999983</v>
      </c>
      <c r="F39" s="431">
        <f t="shared" si="10"/>
        <v>-7.7172685400000001</v>
      </c>
      <c r="G39" s="431">
        <f t="shared" si="10"/>
        <v>-5.4807901599999989</v>
      </c>
      <c r="H39" s="431">
        <f t="shared" si="10"/>
        <v>-18.888113969999999</v>
      </c>
      <c r="I39" s="431">
        <f t="shared" si="10"/>
        <v>-34.64218022</v>
      </c>
      <c r="J39" s="431">
        <f t="shared" si="10"/>
        <v>-50.85800854</v>
      </c>
      <c r="K39" s="431">
        <f t="shared" si="10"/>
        <v>-39.920389030000003</v>
      </c>
      <c r="L39" s="431">
        <f t="shared" ref="L39" si="11">L30/1000000</f>
        <v>-109.86909289</v>
      </c>
      <c r="M39" s="432">
        <f>L39-SUM(G39:J39)</f>
        <v>0</v>
      </c>
    </row>
    <row r="40" spans="1:13">
      <c r="B40" s="431"/>
      <c r="C40" s="431"/>
      <c r="D40" s="431"/>
      <c r="E40" s="431"/>
      <c r="F40" s="431"/>
      <c r="G40" s="431"/>
      <c r="H40" s="431"/>
      <c r="I40" s="431"/>
      <c r="J40" s="431"/>
    </row>
    <row r="41" spans="1:13">
      <c r="B41" s="431"/>
      <c r="C41" s="431"/>
      <c r="D41" s="431"/>
      <c r="E41" s="431"/>
      <c r="F41" s="431"/>
      <c r="G41" s="431"/>
      <c r="H41" s="431"/>
      <c r="I41" s="431"/>
      <c r="J41" s="431"/>
    </row>
    <row r="42" spans="1:13">
      <c r="B42" s="431"/>
      <c r="C42" s="431"/>
      <c r="D42" s="431"/>
      <c r="E42" s="431"/>
      <c r="F42" s="431"/>
      <c r="G42" s="431"/>
      <c r="H42" s="431"/>
      <c r="I42" s="431"/>
      <c r="J42" s="431"/>
    </row>
    <row r="43" spans="1:13">
      <c r="B43" s="431"/>
      <c r="C43" s="431"/>
      <c r="D43" s="431"/>
      <c r="E43" s="431"/>
      <c r="F43" s="431"/>
      <c r="G43" s="431"/>
      <c r="H43" s="431"/>
      <c r="I43" s="431"/>
      <c r="J43" s="431"/>
    </row>
    <row r="44" spans="1:13">
      <c r="B44" s="431"/>
      <c r="C44" s="431"/>
      <c r="D44" s="431"/>
      <c r="E44" s="431"/>
      <c r="F44" s="431"/>
      <c r="G44" s="431"/>
      <c r="H44" s="431"/>
      <c r="I44" s="431"/>
      <c r="J44" s="431"/>
    </row>
    <row r="45" spans="1:13">
      <c r="B45" s="431"/>
      <c r="C45" s="431"/>
      <c r="D45" s="431"/>
      <c r="E45" s="431"/>
      <c r="F45" s="431"/>
      <c r="G45" s="431"/>
      <c r="H45" s="431"/>
      <c r="I45" s="431"/>
      <c r="J45" s="431"/>
      <c r="K45" s="431"/>
      <c r="L45" s="431"/>
    </row>
    <row r="46" spans="1:13">
      <c r="B46" s="431"/>
      <c r="C46" s="431"/>
      <c r="D46" s="431"/>
      <c r="E46" s="431"/>
      <c r="F46" s="431"/>
      <c r="G46" s="431"/>
      <c r="H46" s="431"/>
      <c r="I46" s="431"/>
      <c r="J46" s="431"/>
      <c r="K46" s="431"/>
      <c r="L46" s="431"/>
    </row>
    <row r="47" spans="1:13">
      <c r="B47" s="431"/>
      <c r="C47" s="431"/>
      <c r="D47" s="431"/>
      <c r="E47" s="431"/>
      <c r="F47" s="431"/>
      <c r="G47" s="431"/>
      <c r="H47" s="431"/>
      <c r="I47" s="431"/>
      <c r="J47" s="431"/>
    </row>
    <row r="48" spans="1:13">
      <c r="B48" s="431"/>
      <c r="C48" s="431"/>
      <c r="D48" s="431"/>
      <c r="E48" s="431"/>
      <c r="F48" s="431"/>
      <c r="G48" s="431"/>
      <c r="H48" s="431"/>
      <c r="I48" s="431"/>
      <c r="J48" s="431"/>
    </row>
    <row r="49" spans="1:12">
      <c r="B49" s="431"/>
      <c r="C49" s="431"/>
      <c r="D49" s="431"/>
      <c r="E49" s="431"/>
      <c r="F49" s="431"/>
      <c r="G49" s="431"/>
      <c r="H49" s="431"/>
      <c r="I49" s="431"/>
      <c r="J49" s="431"/>
    </row>
    <row r="50" spans="1:12">
      <c r="B50" s="431"/>
      <c r="C50" s="431"/>
      <c r="D50" s="431"/>
      <c r="E50" s="431"/>
      <c r="F50" s="431"/>
      <c r="G50" s="431"/>
      <c r="H50" s="431"/>
      <c r="I50" s="431"/>
      <c r="J50" s="431"/>
    </row>
    <row r="51" spans="1:12">
      <c r="B51" s="431"/>
      <c r="C51" s="431"/>
      <c r="D51" s="431"/>
      <c r="E51" s="431"/>
      <c r="F51" s="431"/>
      <c r="G51" s="431"/>
      <c r="H51" s="431"/>
      <c r="I51" s="431"/>
      <c r="J51" s="431"/>
    </row>
    <row r="55" spans="1:12">
      <c r="A55" s="431"/>
      <c r="B55" s="431"/>
      <c r="C55" s="431"/>
      <c r="D55" s="431"/>
      <c r="E55" s="431"/>
      <c r="F55" s="431"/>
      <c r="G55" s="431"/>
      <c r="H55" s="431"/>
      <c r="I55" s="431"/>
      <c r="J55" s="431"/>
    </row>
    <row r="56" spans="1:12">
      <c r="A56" s="431"/>
      <c r="B56" s="431"/>
      <c r="C56" s="431"/>
      <c r="D56" s="431"/>
      <c r="E56" s="431"/>
      <c r="F56" s="431"/>
      <c r="G56" s="431"/>
      <c r="H56" s="431"/>
      <c r="I56" s="431"/>
      <c r="J56" s="431"/>
    </row>
    <row r="57" spans="1:12">
      <c r="A57" s="431"/>
      <c r="B57" s="431"/>
      <c r="C57" s="431"/>
      <c r="D57" s="431"/>
      <c r="E57" s="431"/>
      <c r="F57" s="431"/>
      <c r="G57" s="431"/>
      <c r="H57" s="431"/>
      <c r="I57" s="431"/>
      <c r="J57" s="431"/>
    </row>
    <row r="58" spans="1:12">
      <c r="A58" s="431"/>
      <c r="B58" s="431"/>
      <c r="C58" s="431"/>
      <c r="D58" s="431"/>
      <c r="E58" s="431"/>
      <c r="F58" s="431"/>
      <c r="G58" s="431"/>
      <c r="H58" s="431"/>
      <c r="I58" s="431"/>
      <c r="J58" s="431"/>
    </row>
    <row r="59" spans="1:12">
      <c r="A59" s="431"/>
      <c r="B59" s="431"/>
      <c r="C59" s="431"/>
      <c r="D59" s="431"/>
      <c r="E59" s="431"/>
      <c r="F59" s="431"/>
      <c r="G59" s="431"/>
      <c r="H59" s="431"/>
      <c r="I59" s="431"/>
      <c r="J59" s="431"/>
    </row>
    <row r="60" spans="1:12">
      <c r="A60" s="431"/>
      <c r="B60" s="431"/>
      <c r="C60" s="431"/>
      <c r="D60" s="431"/>
      <c r="E60" s="431"/>
      <c r="F60" s="431"/>
      <c r="G60" s="431"/>
      <c r="H60" s="431"/>
      <c r="I60" s="431"/>
      <c r="J60" s="431"/>
    </row>
    <row r="61" spans="1:12">
      <c r="A61" s="431"/>
      <c r="B61" s="431"/>
      <c r="C61" s="431"/>
      <c r="D61" s="431"/>
      <c r="E61" s="431"/>
      <c r="F61" s="431"/>
      <c r="G61" s="431"/>
      <c r="H61" s="431"/>
      <c r="I61" s="431"/>
      <c r="J61" s="431"/>
    </row>
    <row r="62" spans="1:12">
      <c r="A62" s="431"/>
      <c r="B62" s="431"/>
      <c r="C62" s="431"/>
      <c r="D62" s="431"/>
      <c r="E62" s="431"/>
      <c r="F62" s="431"/>
      <c r="G62" s="431"/>
      <c r="H62" s="431"/>
      <c r="I62" s="431"/>
      <c r="J62" s="431"/>
      <c r="K62" s="431"/>
      <c r="L62" s="431"/>
    </row>
  </sheetData>
  <pageMargins left="0.78740157499999996" right="0.78740157499999996" top="0.984251969" bottom="0.984251969" header="0.5" footer="0.5"/>
  <pageSetup paperSize="9" scale="41"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7">
    <tabColor indexed="25"/>
    <pageSetUpPr fitToPage="1"/>
  </sheetPr>
  <dimension ref="A1:R84"/>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13.7109375" customWidth="1"/>
  </cols>
  <sheetData>
    <row r="1" spans="1:15" ht="15" customHeight="1">
      <c r="A1" s="1"/>
    </row>
    <row r="2" spans="1:15" ht="15" customHeight="1">
      <c r="A2" s="1"/>
    </row>
    <row r="3" spans="1:15" ht="15" customHeight="1" thickBot="1">
      <c r="A3" s="92" t="s">
        <v>592</v>
      </c>
      <c r="B3" s="93"/>
      <c r="C3" s="93"/>
      <c r="D3" s="93"/>
      <c r="E3" s="93"/>
      <c r="F3" s="93"/>
      <c r="G3" s="93"/>
      <c r="H3" s="93"/>
      <c r="I3" s="93"/>
      <c r="J3" s="93"/>
      <c r="K3" s="93"/>
      <c r="L3" s="93"/>
      <c r="M3" s="93"/>
    </row>
    <row r="4" spans="1:15" ht="15" customHeight="1" thickBot="1">
      <c r="A4" s="78" t="s">
        <v>33</v>
      </c>
      <c r="B4" s="576">
        <v>2014</v>
      </c>
      <c r="C4" s="577"/>
      <c r="D4" s="577"/>
      <c r="E4" s="578"/>
      <c r="F4" s="579">
        <v>2015</v>
      </c>
      <c r="G4" s="580"/>
      <c r="H4" s="580"/>
      <c r="I4" s="581"/>
      <c r="J4" s="582">
        <v>2016</v>
      </c>
      <c r="K4" s="583"/>
      <c r="L4" s="583"/>
      <c r="M4" s="583"/>
    </row>
    <row r="5" spans="1:15" ht="15" customHeight="1" thickBot="1">
      <c r="A5" s="79" t="s">
        <v>527</v>
      </c>
      <c r="B5" s="290" t="s">
        <v>510</v>
      </c>
      <c r="C5" s="290" t="s">
        <v>511</v>
      </c>
      <c r="D5" s="290" t="s">
        <v>513</v>
      </c>
      <c r="E5" s="291" t="s">
        <v>514</v>
      </c>
      <c r="F5" s="311" t="s">
        <v>510</v>
      </c>
      <c r="G5" s="311" t="s">
        <v>511</v>
      </c>
      <c r="H5" s="311" t="s">
        <v>513</v>
      </c>
      <c r="I5" s="312" t="s">
        <v>514</v>
      </c>
      <c r="J5" s="237" t="s">
        <v>510</v>
      </c>
      <c r="K5" s="237" t="s">
        <v>511</v>
      </c>
      <c r="L5" s="237" t="s">
        <v>513</v>
      </c>
      <c r="M5" s="292" t="s">
        <v>514</v>
      </c>
    </row>
    <row r="6" spans="1:15" ht="15" customHeight="1">
      <c r="A6" s="83" t="s">
        <v>47</v>
      </c>
      <c r="B6" s="105">
        <v>6276.2886624216244</v>
      </c>
      <c r="C6" s="105">
        <v>6503.7409481710438</v>
      </c>
      <c r="D6" s="105">
        <v>6675.2426411422566</v>
      </c>
      <c r="E6" s="105">
        <v>6730.3471176695602</v>
      </c>
      <c r="F6" s="169">
        <v>6624.0064320722904</v>
      </c>
      <c r="G6" s="169">
        <v>6605.1657178139849</v>
      </c>
      <c r="H6" s="169">
        <v>6593.8716787517333</v>
      </c>
      <c r="I6" s="169">
        <v>6718.7823241185615</v>
      </c>
      <c r="J6" s="321">
        <v>6330.1399122518997</v>
      </c>
      <c r="K6" s="321">
        <v>6489.2166578044162</v>
      </c>
      <c r="L6" s="321">
        <v>6514.5844277331962</v>
      </c>
      <c r="M6" s="321"/>
      <c r="O6" s="229"/>
    </row>
    <row r="7" spans="1:15" ht="15" customHeight="1">
      <c r="A7" s="83" t="s">
        <v>23</v>
      </c>
      <c r="B7" s="105">
        <v>2884.4681381080482</v>
      </c>
      <c r="C7" s="105">
        <v>2838.4347104907447</v>
      </c>
      <c r="D7" s="105">
        <v>2891.2331513995905</v>
      </c>
      <c r="E7" s="105">
        <v>3113.5481481283241</v>
      </c>
      <c r="F7" s="169">
        <v>2983.9539593416002</v>
      </c>
      <c r="G7" s="169">
        <v>2996.25439935343</v>
      </c>
      <c r="H7" s="169">
        <v>3187.5500371474991</v>
      </c>
      <c r="I7" s="169">
        <v>3408.6195286145794</v>
      </c>
      <c r="J7" s="321">
        <v>3120.7996769712654</v>
      </c>
      <c r="K7" s="321">
        <v>3080.4072525071997</v>
      </c>
      <c r="L7" s="321">
        <v>3071.6987140229721</v>
      </c>
      <c r="M7" s="321"/>
      <c r="O7" s="229"/>
    </row>
    <row r="8" spans="1:15" ht="15" customHeight="1">
      <c r="A8" s="83" t="s">
        <v>13</v>
      </c>
      <c r="B8" s="105">
        <v>1207.1130207580868</v>
      </c>
      <c r="C8" s="105">
        <v>1166.103682461679</v>
      </c>
      <c r="D8" s="105">
        <v>1242.964979890935</v>
      </c>
      <c r="E8" s="105">
        <v>1360.1186914463915</v>
      </c>
      <c r="F8" s="169">
        <v>1255.995610316219</v>
      </c>
      <c r="G8" s="169">
        <v>1240.787791527408</v>
      </c>
      <c r="H8" s="169">
        <v>1273.2316386963025</v>
      </c>
      <c r="I8" s="169">
        <v>1431.2122425742086</v>
      </c>
      <c r="J8" s="321">
        <v>1255.8295799939901</v>
      </c>
      <c r="K8" s="321">
        <v>1244.1723152590907</v>
      </c>
      <c r="L8" s="321">
        <v>1265.1057205740958</v>
      </c>
      <c r="M8" s="321"/>
      <c r="O8" s="229"/>
    </row>
    <row r="9" spans="1:15" ht="15" customHeight="1">
      <c r="A9" s="83" t="s">
        <v>17</v>
      </c>
      <c r="B9" s="105">
        <v>996.34983558900001</v>
      </c>
      <c r="C9" s="105">
        <v>1045.2875405969999</v>
      </c>
      <c r="D9" s="105">
        <v>1047.0566983875997</v>
      </c>
      <c r="E9" s="105">
        <v>1149.833043090001</v>
      </c>
      <c r="F9" s="169">
        <v>1097.5520040553999</v>
      </c>
      <c r="G9" s="169">
        <v>1050.0607331282001</v>
      </c>
      <c r="H9" s="169">
        <v>1167.3349730844002</v>
      </c>
      <c r="I9" s="169">
        <v>1175.1774549394004</v>
      </c>
      <c r="J9" s="321">
        <v>1117.2175531271278</v>
      </c>
      <c r="K9" s="321">
        <v>1100.9828020455084</v>
      </c>
      <c r="L9" s="321">
        <v>1123.5992350675397</v>
      </c>
      <c r="M9" s="321"/>
      <c r="O9" s="229"/>
    </row>
    <row r="10" spans="1:15" ht="15" customHeight="1">
      <c r="A10" s="83" t="s">
        <v>609</v>
      </c>
      <c r="B10" s="105">
        <v>628.37267768729998</v>
      </c>
      <c r="C10" s="105">
        <v>653.73436906649999</v>
      </c>
      <c r="D10" s="105">
        <v>707.00694928480016</v>
      </c>
      <c r="E10" s="105">
        <v>734.08824777828954</v>
      </c>
      <c r="F10" s="169">
        <v>684.66005828219988</v>
      </c>
      <c r="G10" s="169">
        <v>675.49999036260022</v>
      </c>
      <c r="H10" s="169">
        <v>771.6588193790999</v>
      </c>
      <c r="I10" s="169">
        <v>808.55992923509984</v>
      </c>
      <c r="J10" s="321">
        <v>757.59505541280009</v>
      </c>
      <c r="K10" s="321">
        <v>767.53376777714789</v>
      </c>
      <c r="L10" s="321">
        <v>815.19714185184785</v>
      </c>
      <c r="M10" s="321"/>
      <c r="O10" s="229"/>
    </row>
    <row r="11" spans="1:15" ht="15" customHeight="1">
      <c r="A11" s="83" t="s">
        <v>620</v>
      </c>
      <c r="B11" s="105">
        <v>810.58745058330987</v>
      </c>
      <c r="C11" s="105">
        <v>837.54335087049117</v>
      </c>
      <c r="D11" s="105">
        <v>918.16241759416312</v>
      </c>
      <c r="E11" s="105">
        <v>883.38057956969351</v>
      </c>
      <c r="F11" s="169">
        <v>853.4906887966921</v>
      </c>
      <c r="G11" s="169">
        <v>918.34783238482498</v>
      </c>
      <c r="H11" s="169">
        <v>1060.6770947003256</v>
      </c>
      <c r="I11" s="169">
        <v>982.3269887371448</v>
      </c>
      <c r="J11" s="321">
        <v>952.43609942283297</v>
      </c>
      <c r="K11" s="321">
        <v>975.67614502830065</v>
      </c>
      <c r="L11" s="321">
        <v>1026.1646270296476</v>
      </c>
      <c r="M11" s="321"/>
      <c r="O11" s="229"/>
    </row>
    <row r="12" spans="1:15" ht="15" customHeight="1">
      <c r="A12" s="83" t="s">
        <v>608</v>
      </c>
      <c r="B12" s="105">
        <v>4186.8139079138282</v>
      </c>
      <c r="C12" s="105">
        <v>4028.7826151679919</v>
      </c>
      <c r="D12" s="105">
        <v>4080.933416123733</v>
      </c>
      <c r="E12" s="105">
        <v>5265.4042410341353</v>
      </c>
      <c r="F12" s="169">
        <v>5442.6007101226542</v>
      </c>
      <c r="G12" s="169">
        <v>5111.5941991188893</v>
      </c>
      <c r="H12" s="169">
        <v>4600.4581215553626</v>
      </c>
      <c r="I12" s="169">
        <v>5532.6089497958183</v>
      </c>
      <c r="J12" s="321">
        <v>5260.1151681522497</v>
      </c>
      <c r="K12" s="321">
        <v>4629.4260685987738</v>
      </c>
      <c r="L12" s="321">
        <v>4671.1832954491183</v>
      </c>
      <c r="M12" s="321"/>
      <c r="O12" s="229"/>
    </row>
    <row r="13" spans="1:15" ht="15" customHeight="1">
      <c r="A13" s="83" t="s">
        <v>382</v>
      </c>
      <c r="B13" s="105">
        <v>3173.1693277149998</v>
      </c>
      <c r="C13" s="105">
        <v>3230.2456807293001</v>
      </c>
      <c r="D13" s="105">
        <v>3442.3299065586789</v>
      </c>
      <c r="E13" s="105">
        <v>3666.987517450103</v>
      </c>
      <c r="F13" s="169">
        <v>3836.6681723042402</v>
      </c>
      <c r="G13" s="169">
        <v>3649.1244909177594</v>
      </c>
      <c r="H13" s="169">
        <v>3390.1051406356537</v>
      </c>
      <c r="I13" s="169">
        <v>3429.827111562061</v>
      </c>
      <c r="J13" s="321">
        <v>3405.1848686590656</v>
      </c>
      <c r="K13" s="321">
        <v>3411.1751742713741</v>
      </c>
      <c r="L13" s="321">
        <v>3324.2060712940392</v>
      </c>
      <c r="M13" s="321"/>
      <c r="O13" s="229"/>
    </row>
    <row r="14" spans="1:15" ht="15" customHeight="1">
      <c r="A14" s="83" t="s">
        <v>498</v>
      </c>
      <c r="B14" s="105">
        <v>1960.9097646279652</v>
      </c>
      <c r="C14" s="105">
        <v>2024.9555939114121</v>
      </c>
      <c r="D14" s="105">
        <v>2074.7653301434416</v>
      </c>
      <c r="E14" s="105">
        <v>2306.007509295272</v>
      </c>
      <c r="F14" s="169">
        <v>2516.2750187537176</v>
      </c>
      <c r="G14" s="169">
        <v>2630.0727694301377</v>
      </c>
      <c r="H14" s="169">
        <v>2810.7099604380255</v>
      </c>
      <c r="I14" s="169">
        <v>2924.2727416927937</v>
      </c>
      <c r="J14" s="321">
        <v>3045.1575325564818</v>
      </c>
      <c r="K14" s="321">
        <v>2965.2873855878215</v>
      </c>
      <c r="L14" s="321">
        <v>3134.4804349483984</v>
      </c>
      <c r="M14" s="321"/>
      <c r="O14" s="229"/>
    </row>
    <row r="15" spans="1:15" ht="15" customHeight="1">
      <c r="A15" s="83" t="s">
        <v>26</v>
      </c>
      <c r="B15" s="105">
        <v>1338.2487046385963</v>
      </c>
      <c r="C15" s="105">
        <v>1466.8442090592584</v>
      </c>
      <c r="D15" s="105">
        <v>1411.9602922532449</v>
      </c>
      <c r="E15" s="105">
        <v>1581.0977785923205</v>
      </c>
      <c r="F15" s="169">
        <v>1828.6307362888599</v>
      </c>
      <c r="G15" s="169">
        <v>1900.4807974773391</v>
      </c>
      <c r="H15" s="169">
        <v>1987.8118769581929</v>
      </c>
      <c r="I15" s="169">
        <v>2049.2521935242075</v>
      </c>
      <c r="J15" s="321">
        <v>2144.0702986396263</v>
      </c>
      <c r="K15" s="321">
        <v>2140.5981263908525</v>
      </c>
      <c r="L15" s="321">
        <v>2175.1385914415232</v>
      </c>
      <c r="M15" s="321"/>
      <c r="O15" s="229"/>
    </row>
    <row r="16" spans="1:15" ht="15" customHeight="1">
      <c r="A16" s="83" t="s">
        <v>45</v>
      </c>
      <c r="B16" s="105">
        <v>918.51304464255293</v>
      </c>
      <c r="C16" s="105">
        <v>1020.8134860293586</v>
      </c>
      <c r="D16" s="105">
        <v>1073.739695347824</v>
      </c>
      <c r="E16" s="105">
        <v>1187.2087730633298</v>
      </c>
      <c r="F16" s="169">
        <v>1383.3785915098631</v>
      </c>
      <c r="G16" s="169">
        <v>1361.6825807852454</v>
      </c>
      <c r="H16" s="169">
        <v>1410.7419143343545</v>
      </c>
      <c r="I16" s="169">
        <v>1435.7615349387215</v>
      </c>
      <c r="J16" s="321">
        <v>1519.6725463406108</v>
      </c>
      <c r="K16" s="321">
        <v>1550.8435260819131</v>
      </c>
      <c r="L16" s="321">
        <v>1544.8542464036805</v>
      </c>
      <c r="M16" s="321"/>
      <c r="O16" s="229"/>
    </row>
    <row r="17" spans="1:16" ht="15" customHeight="1">
      <c r="A17" s="83" t="s">
        <v>613</v>
      </c>
      <c r="B17" s="105">
        <v>0</v>
      </c>
      <c r="C17" s="105">
        <v>0</v>
      </c>
      <c r="D17" s="105">
        <v>3.0842165038969998</v>
      </c>
      <c r="E17" s="105">
        <v>286.72014865214697</v>
      </c>
      <c r="F17" s="169">
        <v>767.72586814426813</v>
      </c>
      <c r="G17" s="169">
        <v>1141.9729380837398</v>
      </c>
      <c r="H17" s="169">
        <v>1432.6700721360412</v>
      </c>
      <c r="I17" s="169">
        <v>1496.2679383718969</v>
      </c>
      <c r="J17" s="321">
        <v>1722.4918822654547</v>
      </c>
      <c r="K17" s="321">
        <v>1802.4210391639333</v>
      </c>
      <c r="L17" s="321">
        <v>1737.472531561255</v>
      </c>
      <c r="M17" s="321"/>
      <c r="O17" s="229"/>
    </row>
    <row r="18" spans="1:16" ht="15" customHeight="1">
      <c r="A18" s="83" t="s">
        <v>380</v>
      </c>
      <c r="B18" s="105">
        <v>1693.0060067593099</v>
      </c>
      <c r="C18" s="105">
        <v>1529.0633877128121</v>
      </c>
      <c r="D18" s="105">
        <v>1536.5264936660274</v>
      </c>
      <c r="E18" s="105">
        <v>1550.4869497843138</v>
      </c>
      <c r="F18" s="169">
        <v>1530.3753956333903</v>
      </c>
      <c r="G18" s="169">
        <v>1518.2314071127662</v>
      </c>
      <c r="H18" s="169">
        <v>1590.5320929867817</v>
      </c>
      <c r="I18" s="169">
        <v>1597.1167327101493</v>
      </c>
      <c r="J18" s="321">
        <v>1764.8700087221691</v>
      </c>
      <c r="K18" s="321">
        <v>1560.6473073856764</v>
      </c>
      <c r="L18" s="321">
        <v>1545.6762008178657</v>
      </c>
      <c r="M18" s="321"/>
      <c r="O18" s="229"/>
    </row>
    <row r="19" spans="1:16" ht="15" customHeight="1">
      <c r="A19" s="83" t="s">
        <v>137</v>
      </c>
      <c r="B19" s="105">
        <v>1337.2692415640072</v>
      </c>
      <c r="C19" s="105">
        <v>1375.8202999014329</v>
      </c>
      <c r="D19" s="105">
        <v>1513.6526278226797</v>
      </c>
      <c r="E19" s="105">
        <v>1626.9239746008097</v>
      </c>
      <c r="F19" s="169">
        <v>1616.812940885329</v>
      </c>
      <c r="G19" s="169">
        <v>1629.0475752795012</v>
      </c>
      <c r="H19" s="169">
        <v>1707.1184540617396</v>
      </c>
      <c r="I19" s="169">
        <v>1711.6824011915905</v>
      </c>
      <c r="J19" s="321">
        <v>1834.8664407370261</v>
      </c>
      <c r="K19" s="321">
        <v>2023.4687676772837</v>
      </c>
      <c r="L19" s="321">
        <v>2168.2740782196506</v>
      </c>
      <c r="M19" s="321"/>
      <c r="O19" s="229"/>
    </row>
    <row r="20" spans="1:16" ht="15" customHeight="1">
      <c r="A20" s="83" t="s">
        <v>410</v>
      </c>
      <c r="B20" s="105">
        <v>-896.46740704063632</v>
      </c>
      <c r="C20" s="105">
        <v>-918.2326792721251</v>
      </c>
      <c r="D20" s="105">
        <v>-933.23528688606166</v>
      </c>
      <c r="E20" s="105">
        <v>-1002.0975430123799</v>
      </c>
      <c r="F20" s="169">
        <v>-976.18404944481517</v>
      </c>
      <c r="G20" s="169">
        <v>-1022.6424862592357</v>
      </c>
      <c r="H20" s="169">
        <v>-1148.1382326374151</v>
      </c>
      <c r="I20" s="169">
        <v>-1214.6502943948435</v>
      </c>
      <c r="J20" s="321">
        <v>-1217.4783144574903</v>
      </c>
      <c r="K20" s="321">
        <v>-1264.8245869574021</v>
      </c>
      <c r="L20" s="321">
        <v>-1323.9972593754064</v>
      </c>
      <c r="M20" s="321"/>
      <c r="O20" s="229"/>
    </row>
    <row r="21" spans="1:16" ht="18" customHeight="1">
      <c r="A21" s="146" t="s">
        <v>55</v>
      </c>
      <c r="B21" s="106">
        <v>26514.642375967996</v>
      </c>
      <c r="C21" s="106">
        <v>26803.140824456896</v>
      </c>
      <c r="D21" s="106">
        <v>27685.423529232809</v>
      </c>
      <c r="E21" s="106">
        <v>30440.055177142309</v>
      </c>
      <c r="F21" s="171">
        <v>31445.942137061902</v>
      </c>
      <c r="G21" s="171">
        <v>31405.680736516588</v>
      </c>
      <c r="H21" s="171">
        <v>31836.333642228099</v>
      </c>
      <c r="I21" s="171">
        <v>33486.817777611388</v>
      </c>
      <c r="J21" s="334">
        <v>33012.968308795105</v>
      </c>
      <c r="K21" s="334">
        <v>32477.031748621885</v>
      </c>
      <c r="L21" s="334">
        <v>32793.638057039425</v>
      </c>
      <c r="M21" s="334"/>
      <c r="O21" s="229"/>
    </row>
    <row r="22" spans="1:16" ht="15" customHeight="1">
      <c r="A22" s="93"/>
      <c r="B22" s="402"/>
      <c r="C22" s="402"/>
      <c r="D22" s="402"/>
      <c r="E22" s="402"/>
      <c r="F22" s="402"/>
      <c r="G22" s="402"/>
      <c r="H22" s="402"/>
      <c r="I22" s="402"/>
      <c r="J22" s="402"/>
      <c r="K22" s="402"/>
      <c r="L22" s="402"/>
      <c r="M22" s="93"/>
      <c r="O22" s="229"/>
    </row>
    <row r="23" spans="1:16" ht="15" customHeight="1" thickBot="1">
      <c r="A23" s="92" t="s">
        <v>634</v>
      </c>
      <c r="B23" s="93"/>
      <c r="C23" s="93"/>
      <c r="D23" s="93"/>
      <c r="E23" s="93"/>
      <c r="F23" s="93"/>
      <c r="G23" s="93"/>
      <c r="H23" s="93"/>
      <c r="I23" s="93"/>
      <c r="J23" s="93"/>
      <c r="K23" s="93"/>
      <c r="L23" s="93"/>
      <c r="M23" s="93"/>
      <c r="O23" s="229"/>
    </row>
    <row r="24" spans="1:16" ht="15" customHeight="1" thickBot="1">
      <c r="A24" s="78" t="s">
        <v>33</v>
      </c>
      <c r="B24" s="576">
        <v>2014</v>
      </c>
      <c r="C24" s="577"/>
      <c r="D24" s="577"/>
      <c r="E24" s="578"/>
      <c r="F24" s="579">
        <v>2015</v>
      </c>
      <c r="G24" s="580"/>
      <c r="H24" s="580"/>
      <c r="I24" s="581"/>
      <c r="J24" s="582">
        <v>2016</v>
      </c>
      <c r="K24" s="583"/>
      <c r="L24" s="583"/>
      <c r="M24" s="583"/>
      <c r="O24" s="229"/>
    </row>
    <row r="25" spans="1:16" ht="15" customHeight="1" thickBot="1">
      <c r="A25" s="79" t="s">
        <v>527</v>
      </c>
      <c r="B25" s="290" t="s">
        <v>510</v>
      </c>
      <c r="C25" s="290" t="s">
        <v>511</v>
      </c>
      <c r="D25" s="290" t="s">
        <v>513</v>
      </c>
      <c r="E25" s="290" t="s">
        <v>514</v>
      </c>
      <c r="F25" s="311" t="s">
        <v>510</v>
      </c>
      <c r="G25" s="311" t="s">
        <v>511</v>
      </c>
      <c r="H25" s="311" t="s">
        <v>513</v>
      </c>
      <c r="I25" s="312" t="s">
        <v>514</v>
      </c>
      <c r="J25" s="237" t="s">
        <v>510</v>
      </c>
      <c r="K25" s="237" t="s">
        <v>511</v>
      </c>
      <c r="L25" s="237" t="s">
        <v>513</v>
      </c>
      <c r="M25" s="292" t="s">
        <v>514</v>
      </c>
      <c r="O25" s="229"/>
    </row>
    <row r="26" spans="1:16" ht="15" customHeight="1">
      <c r="A26" s="83" t="s">
        <v>47</v>
      </c>
      <c r="B26" s="105">
        <v>2658.0545684097601</v>
      </c>
      <c r="C26" s="105">
        <v>2783.386336126659</v>
      </c>
      <c r="D26" s="105">
        <v>3066.5711659705794</v>
      </c>
      <c r="E26" s="105">
        <v>2746.8928517957029</v>
      </c>
      <c r="F26" s="169">
        <v>2792.3675030443301</v>
      </c>
      <c r="G26" s="169">
        <v>2723.2419486013305</v>
      </c>
      <c r="H26" s="169">
        <v>2954.7458086841789</v>
      </c>
      <c r="I26" s="169">
        <v>2617.413490481862</v>
      </c>
      <c r="J26" s="321">
        <v>2772.37299165283</v>
      </c>
      <c r="K26" s="321">
        <v>2633.8477473447301</v>
      </c>
      <c r="L26" s="321">
        <v>2910.1775787990291</v>
      </c>
      <c r="M26" s="321"/>
      <c r="N26" s="238"/>
      <c r="O26" s="229"/>
      <c r="P26" s="297"/>
    </row>
    <row r="27" spans="1:16" ht="15" customHeight="1">
      <c r="A27" s="83" t="s">
        <v>23</v>
      </c>
      <c r="B27" s="105">
        <v>849.73134682747195</v>
      </c>
      <c r="C27" s="105">
        <v>889.96472450156807</v>
      </c>
      <c r="D27" s="105">
        <v>963.6782461039902</v>
      </c>
      <c r="E27" s="105">
        <v>785.17351795994955</v>
      </c>
      <c r="F27" s="169">
        <v>853.98748143754699</v>
      </c>
      <c r="G27" s="169">
        <v>836.67848189077301</v>
      </c>
      <c r="H27" s="169">
        <v>1022.5118345771496</v>
      </c>
      <c r="I27" s="169">
        <v>953.71493656994062</v>
      </c>
      <c r="J27" s="321">
        <v>893.451718262192</v>
      </c>
      <c r="K27" s="321">
        <v>989.32817275558807</v>
      </c>
      <c r="L27" s="321">
        <v>1037.6714899883002</v>
      </c>
      <c r="M27" s="321"/>
      <c r="N27" s="238"/>
      <c r="O27" s="229"/>
      <c r="P27" s="297"/>
    </row>
    <row r="28" spans="1:16" ht="15" customHeight="1">
      <c r="A28" s="83" t="s">
        <v>13</v>
      </c>
      <c r="B28" s="105">
        <v>189.732802153432</v>
      </c>
      <c r="C28" s="105">
        <v>130.72599878748801</v>
      </c>
      <c r="D28" s="105">
        <v>229.34375992664889</v>
      </c>
      <c r="E28" s="105">
        <v>176.30232880803408</v>
      </c>
      <c r="F28" s="169">
        <v>208.22765116329899</v>
      </c>
      <c r="G28" s="169">
        <v>118.787938656026</v>
      </c>
      <c r="H28" s="169">
        <v>127.01741382489502</v>
      </c>
      <c r="I28" s="169">
        <v>136.69225847621794</v>
      </c>
      <c r="J28" s="321">
        <v>161.744272719522</v>
      </c>
      <c r="K28" s="321">
        <v>146.18054157085098</v>
      </c>
      <c r="L28" s="321">
        <v>136.22337535408502</v>
      </c>
      <c r="M28" s="321"/>
      <c r="O28" s="229"/>
      <c r="P28" s="297"/>
    </row>
    <row r="29" spans="1:16" ht="15" customHeight="1">
      <c r="A29" s="83" t="s">
        <v>17</v>
      </c>
      <c r="B29" s="105">
        <v>367.8909897254</v>
      </c>
      <c r="C29" s="105">
        <v>382.58506925860002</v>
      </c>
      <c r="D29" s="105">
        <v>346.00107950439997</v>
      </c>
      <c r="E29" s="105">
        <v>278.7722272499002</v>
      </c>
      <c r="F29" s="169">
        <v>353.88543247369995</v>
      </c>
      <c r="G29" s="169">
        <v>330.53705772890004</v>
      </c>
      <c r="H29" s="169">
        <v>416.79353742189994</v>
      </c>
      <c r="I29" s="169">
        <v>280.33194983280009</v>
      </c>
      <c r="J29" s="321">
        <v>354.25557525941701</v>
      </c>
      <c r="K29" s="321">
        <v>332.186004015663</v>
      </c>
      <c r="L29" s="321">
        <v>389.03480105326992</v>
      </c>
      <c r="M29" s="321"/>
      <c r="O29" s="229"/>
      <c r="P29" s="297"/>
    </row>
    <row r="30" spans="1:16" ht="15" customHeight="1">
      <c r="A30" s="83" t="s">
        <v>609</v>
      </c>
      <c r="B30" s="105">
        <v>237.60671560989999</v>
      </c>
      <c r="C30" s="105">
        <v>259.73733515050003</v>
      </c>
      <c r="D30" s="105">
        <v>290.73015101210001</v>
      </c>
      <c r="E30" s="105">
        <v>252.57561445489989</v>
      </c>
      <c r="F30" s="169">
        <v>253.0877134422</v>
      </c>
      <c r="G30" s="169">
        <v>271.92947973230002</v>
      </c>
      <c r="H30" s="169">
        <v>313.69559515870003</v>
      </c>
      <c r="I30" s="169">
        <v>294.92809347300022</v>
      </c>
      <c r="J30" s="321">
        <v>286.32810274199994</v>
      </c>
      <c r="K30" s="321">
        <v>295.49237502723304</v>
      </c>
      <c r="L30" s="321">
        <v>322.57689945714105</v>
      </c>
      <c r="M30" s="321"/>
      <c r="O30" s="229"/>
      <c r="P30" s="297"/>
    </row>
    <row r="31" spans="1:16" ht="15" customHeight="1">
      <c r="A31" s="83" t="s">
        <v>620</v>
      </c>
      <c r="B31" s="105">
        <v>297.96894153840395</v>
      </c>
      <c r="C31" s="105">
        <v>330.900922050509</v>
      </c>
      <c r="D31" s="105">
        <v>377.20541357246714</v>
      </c>
      <c r="E31" s="105">
        <v>286.84415977918013</v>
      </c>
      <c r="F31" s="169">
        <v>285.396639169335</v>
      </c>
      <c r="G31" s="169">
        <v>325.44142862579201</v>
      </c>
      <c r="H31" s="169">
        <v>403.80675861257293</v>
      </c>
      <c r="I31" s="169">
        <v>314.37447442941004</v>
      </c>
      <c r="J31" s="321">
        <v>295.86469473262497</v>
      </c>
      <c r="K31" s="321">
        <v>341.98471049871301</v>
      </c>
      <c r="L31" s="321">
        <v>391.40805467763209</v>
      </c>
      <c r="M31" s="321"/>
      <c r="O31" s="229"/>
      <c r="P31" s="297"/>
    </row>
    <row r="32" spans="1:16" ht="15" customHeight="1">
      <c r="A32" s="83" t="s">
        <v>608</v>
      </c>
      <c r="B32" s="105">
        <v>1530.6906674459199</v>
      </c>
      <c r="C32" s="105">
        <v>1463.5495766671499</v>
      </c>
      <c r="D32" s="105">
        <v>1522.8609658464502</v>
      </c>
      <c r="E32" s="105">
        <v>1475.8033005769303</v>
      </c>
      <c r="F32" s="169">
        <v>1759.5152503807901</v>
      </c>
      <c r="G32" s="169">
        <v>1566.2395355787096</v>
      </c>
      <c r="H32" s="169">
        <v>1656.2965956676298</v>
      </c>
      <c r="I32" s="169">
        <v>1597.82017712176</v>
      </c>
      <c r="J32" s="321">
        <v>1778.4920869372302</v>
      </c>
      <c r="K32" s="321">
        <v>1541.1000029714899</v>
      </c>
      <c r="L32" s="321">
        <v>1726.7836224820499</v>
      </c>
      <c r="M32" s="321"/>
      <c r="N32" s="238"/>
      <c r="O32" s="229"/>
      <c r="P32" s="297"/>
    </row>
    <row r="33" spans="1:18" ht="15" customHeight="1">
      <c r="A33" s="83" t="s">
        <v>382</v>
      </c>
      <c r="B33" s="105">
        <v>1422.5543024574999</v>
      </c>
      <c r="C33" s="105">
        <v>1466.5060501789999</v>
      </c>
      <c r="D33" s="105">
        <v>1557.6271882897004</v>
      </c>
      <c r="E33" s="105">
        <v>1639.6187763907701</v>
      </c>
      <c r="F33" s="169">
        <v>1672.4481524345299</v>
      </c>
      <c r="G33" s="169">
        <v>1659.7039240983597</v>
      </c>
      <c r="H33" s="169">
        <v>1506.8187985736404</v>
      </c>
      <c r="I33" s="169">
        <v>1385.3218166314609</v>
      </c>
      <c r="J33" s="321">
        <v>1431.1706606017399</v>
      </c>
      <c r="K33" s="321">
        <v>1541.3827254844502</v>
      </c>
      <c r="L33" s="321">
        <v>1591.5327227163293</v>
      </c>
      <c r="M33" s="321"/>
      <c r="N33" s="238"/>
      <c r="O33" s="229"/>
      <c r="P33" s="297"/>
    </row>
    <row r="34" spans="1:18" ht="15" customHeight="1">
      <c r="A34" s="83" t="s">
        <v>498</v>
      </c>
      <c r="B34" s="105">
        <v>1052.07989363403</v>
      </c>
      <c r="C34" s="105">
        <v>1094.1597143367896</v>
      </c>
      <c r="D34" s="105">
        <v>1126.9830358246204</v>
      </c>
      <c r="E34" s="105">
        <v>1160.7137913886804</v>
      </c>
      <c r="F34" s="169">
        <v>1362.7463313999499</v>
      </c>
      <c r="G34" s="169">
        <v>1417.3487939703798</v>
      </c>
      <c r="H34" s="169">
        <v>1431.52169183154</v>
      </c>
      <c r="I34" s="169">
        <v>1594.6125722158695</v>
      </c>
      <c r="J34" s="321">
        <v>1683.75361996281</v>
      </c>
      <c r="K34" s="321">
        <v>1608.7694170989696</v>
      </c>
      <c r="L34" s="321">
        <v>1784.2155011362406</v>
      </c>
      <c r="M34" s="321"/>
      <c r="N34" s="238"/>
      <c r="O34" s="229"/>
      <c r="P34" s="297"/>
    </row>
    <row r="35" spans="1:18" ht="15" customHeight="1">
      <c r="A35" s="83" t="s">
        <v>26</v>
      </c>
      <c r="B35" s="105">
        <v>529.67537187256801</v>
      </c>
      <c r="C35" s="105">
        <v>617.11639274617221</v>
      </c>
      <c r="D35" s="105">
        <v>472.52955478525973</v>
      </c>
      <c r="E35" s="105">
        <v>492.56075211808002</v>
      </c>
      <c r="F35" s="169">
        <v>766.7616814288599</v>
      </c>
      <c r="G35" s="169">
        <v>597.89063650096023</v>
      </c>
      <c r="H35" s="169">
        <v>908.99372769043975</v>
      </c>
      <c r="I35" s="169">
        <v>878.22140679861013</v>
      </c>
      <c r="J35" s="321">
        <v>847.01318541796195</v>
      </c>
      <c r="K35" s="321">
        <v>902.8970098177881</v>
      </c>
      <c r="L35" s="321">
        <v>954.73547853918035</v>
      </c>
      <c r="M35" s="321"/>
      <c r="N35" s="238"/>
      <c r="O35" s="229"/>
      <c r="P35" s="297"/>
    </row>
    <row r="36" spans="1:18" ht="15" customHeight="1">
      <c r="A36" s="83" t="s">
        <v>45</v>
      </c>
      <c r="B36" s="105">
        <v>-82.7007123494502</v>
      </c>
      <c r="C36" s="105">
        <v>-106.39832137120281</v>
      </c>
      <c r="D36" s="105">
        <v>-135.81433877634194</v>
      </c>
      <c r="E36" s="105">
        <v>-97.171616503661028</v>
      </c>
      <c r="F36" s="169">
        <v>-53.862330688432799</v>
      </c>
      <c r="G36" s="169">
        <v>23.763182277550197</v>
      </c>
      <c r="H36" s="169">
        <v>-57.918808894012386</v>
      </c>
      <c r="I36" s="169">
        <v>41.307111565455493</v>
      </c>
      <c r="J36" s="321">
        <v>35.178632542734697</v>
      </c>
      <c r="K36" s="321">
        <v>140.53512480273531</v>
      </c>
      <c r="L36" s="321">
        <v>131.69925228042501</v>
      </c>
      <c r="M36" s="321"/>
      <c r="N36" s="238"/>
      <c r="O36" s="229"/>
      <c r="P36" s="297"/>
    </row>
    <row r="37" spans="1:18" ht="15" customHeight="1">
      <c r="A37" s="83" t="s">
        <v>613</v>
      </c>
      <c r="B37" s="105">
        <v>-68.056916532000002</v>
      </c>
      <c r="C37" s="105">
        <v>-83.103329888314988</v>
      </c>
      <c r="D37" s="105">
        <v>-108.248775277199</v>
      </c>
      <c r="E37" s="105">
        <v>-248.14507165768202</v>
      </c>
      <c r="F37" s="169">
        <v>152.289827828028</v>
      </c>
      <c r="G37" s="169">
        <v>479.31322724174197</v>
      </c>
      <c r="H37" s="169">
        <v>690.65496816327993</v>
      </c>
      <c r="I37" s="169">
        <v>639.51939428082005</v>
      </c>
      <c r="J37" s="321">
        <v>718.48320719491301</v>
      </c>
      <c r="K37" s="321">
        <v>827.33443226779684</v>
      </c>
      <c r="L37" s="321">
        <v>774.0796373654498</v>
      </c>
      <c r="M37" s="321"/>
      <c r="N37" s="238"/>
      <c r="O37" s="229"/>
      <c r="P37" s="297"/>
    </row>
    <row r="38" spans="1:18" ht="15" customHeight="1">
      <c r="A38" s="83" t="s">
        <v>380</v>
      </c>
      <c r="B38" s="105">
        <v>511.32216528460208</v>
      </c>
      <c r="C38" s="105">
        <v>468.98660636336081</v>
      </c>
      <c r="D38" s="105">
        <v>512.46199035059522</v>
      </c>
      <c r="E38" s="105">
        <v>458.10254576732586</v>
      </c>
      <c r="F38" s="169">
        <v>456.82893962967603</v>
      </c>
      <c r="G38" s="169">
        <v>480.14812544294489</v>
      </c>
      <c r="H38" s="169">
        <v>588.15484811072611</v>
      </c>
      <c r="I38" s="169">
        <v>506.75994797661315</v>
      </c>
      <c r="J38" s="321">
        <v>732.22028062918105</v>
      </c>
      <c r="K38" s="321">
        <v>512.25994626441195</v>
      </c>
      <c r="L38" s="321">
        <v>539.88722049991907</v>
      </c>
      <c r="M38" s="321"/>
      <c r="O38" s="229"/>
      <c r="P38" s="297"/>
      <c r="R38" s="297"/>
    </row>
    <row r="39" spans="1:18" ht="15" customHeight="1">
      <c r="A39" s="83" t="s">
        <v>137</v>
      </c>
      <c r="B39" s="105">
        <v>-181.44184794089</v>
      </c>
      <c r="C39" s="105">
        <v>-80.954884088932033</v>
      </c>
      <c r="D39" s="105">
        <v>40.956444391227024</v>
      </c>
      <c r="E39" s="105">
        <v>-76.029523006213992</v>
      </c>
      <c r="F39" s="169">
        <v>-68.342393969173003</v>
      </c>
      <c r="G39" s="169">
        <v>-136.219328240176</v>
      </c>
      <c r="H39" s="169">
        <v>-115.57538227256896</v>
      </c>
      <c r="I39" s="169">
        <v>-381.24665828577201</v>
      </c>
      <c r="J39" s="321">
        <v>-305.53108146673401</v>
      </c>
      <c r="K39" s="321">
        <v>-268.3372778711439</v>
      </c>
      <c r="L39" s="321">
        <v>-230.54648970638414</v>
      </c>
      <c r="M39" s="321"/>
      <c r="O39" s="229"/>
      <c r="P39" s="297"/>
    </row>
    <row r="40" spans="1:18" ht="15" customHeight="1">
      <c r="A40" s="83" t="s">
        <v>410</v>
      </c>
      <c r="B40" s="105">
        <v>-16.73020200002793</v>
      </c>
      <c r="C40" s="105">
        <v>-0.91399999996792758</v>
      </c>
      <c r="D40" s="105">
        <v>0</v>
      </c>
      <c r="E40" s="105">
        <v>-13.577000000175758</v>
      </c>
      <c r="F40" s="169">
        <v>0</v>
      </c>
      <c r="G40" s="169">
        <v>0</v>
      </c>
      <c r="H40" s="169">
        <v>0</v>
      </c>
      <c r="I40" s="169">
        <v>0</v>
      </c>
      <c r="J40" s="321">
        <v>0</v>
      </c>
      <c r="K40" s="321">
        <v>0</v>
      </c>
      <c r="L40" s="321">
        <v>0</v>
      </c>
      <c r="M40" s="321"/>
      <c r="O40" s="229"/>
    </row>
    <row r="41" spans="1:18" ht="18" customHeight="1">
      <c r="A41" s="146" t="s">
        <v>55</v>
      </c>
      <c r="B41" s="106">
        <v>9298.3780861366213</v>
      </c>
      <c r="C41" s="106">
        <v>9616.2481908193768</v>
      </c>
      <c r="D41" s="106">
        <v>10263.010881524597</v>
      </c>
      <c r="E41" s="106">
        <v>9318.436655121719</v>
      </c>
      <c r="F41" s="171">
        <v>10795.298879174699</v>
      </c>
      <c r="G41" s="171">
        <v>10694.843432105505</v>
      </c>
      <c r="H41" s="171">
        <v>11847.517387150194</v>
      </c>
      <c r="I41" s="171">
        <v>10859.77023145521</v>
      </c>
      <c r="J41" s="334">
        <v>11684.797947188399</v>
      </c>
      <c r="K41" s="334">
        <v>11544.9609320493</v>
      </c>
      <c r="L41" s="334">
        <v>12459.479144642666</v>
      </c>
      <c r="M41" s="334"/>
      <c r="O41" s="229"/>
      <c r="P41" s="238"/>
      <c r="Q41" s="390"/>
      <c r="R41" s="238"/>
    </row>
    <row r="42" spans="1:18" ht="15" customHeight="1">
      <c r="A42" s="93"/>
      <c r="B42" s="93"/>
      <c r="C42" s="93"/>
      <c r="D42" s="93"/>
      <c r="E42" s="93"/>
      <c r="F42" s="93"/>
      <c r="G42" s="93"/>
      <c r="H42" s="93"/>
      <c r="I42" s="93"/>
      <c r="J42" s="93"/>
      <c r="K42" s="93"/>
      <c r="L42" s="93"/>
      <c r="M42" s="93"/>
      <c r="O42" s="229"/>
    </row>
    <row r="43" spans="1:18" ht="15" customHeight="1" thickBot="1">
      <c r="A43" s="92" t="s">
        <v>535</v>
      </c>
      <c r="B43" s="93"/>
      <c r="C43" s="93"/>
      <c r="D43" s="93"/>
      <c r="E43" s="93"/>
      <c r="F43" s="93"/>
      <c r="G43" s="93"/>
      <c r="H43" s="93"/>
      <c r="I43" s="93"/>
      <c r="J43" s="93"/>
      <c r="K43" s="93"/>
      <c r="L43" s="93"/>
      <c r="M43" s="93"/>
      <c r="O43" s="229"/>
    </row>
    <row r="44" spans="1:18" ht="15" customHeight="1" thickBot="1">
      <c r="A44" s="78" t="s">
        <v>33</v>
      </c>
      <c r="B44" s="576">
        <v>2014</v>
      </c>
      <c r="C44" s="577"/>
      <c r="D44" s="577"/>
      <c r="E44" s="578"/>
      <c r="F44" s="579">
        <v>2015</v>
      </c>
      <c r="G44" s="580"/>
      <c r="H44" s="580"/>
      <c r="I44" s="581"/>
      <c r="J44" s="582">
        <v>2016</v>
      </c>
      <c r="K44" s="583"/>
      <c r="L44" s="583"/>
      <c r="M44" s="583"/>
      <c r="O44" s="229"/>
    </row>
    <row r="45" spans="1:18" ht="15" customHeight="1" thickBot="1">
      <c r="A45" s="79" t="s">
        <v>527</v>
      </c>
      <c r="B45" s="290" t="s">
        <v>510</v>
      </c>
      <c r="C45" s="290" t="s">
        <v>511</v>
      </c>
      <c r="D45" s="290" t="s">
        <v>513</v>
      </c>
      <c r="E45" s="290" t="s">
        <v>514</v>
      </c>
      <c r="F45" s="311" t="s">
        <v>510</v>
      </c>
      <c r="G45" s="311" t="s">
        <v>511</v>
      </c>
      <c r="H45" s="311" t="s">
        <v>513</v>
      </c>
      <c r="I45" s="312" t="s">
        <v>514</v>
      </c>
      <c r="J45" s="237" t="s">
        <v>510</v>
      </c>
      <c r="K45" s="237" t="s">
        <v>511</v>
      </c>
      <c r="L45" s="237" t="s">
        <v>513</v>
      </c>
      <c r="M45" s="292" t="s">
        <v>514</v>
      </c>
      <c r="O45" s="229"/>
    </row>
    <row r="46" spans="1:18" ht="15" customHeight="1">
      <c r="A46" s="83" t="s">
        <v>47</v>
      </c>
      <c r="B46" s="105">
        <v>2359.8364275497602</v>
      </c>
      <c r="C46" s="105">
        <v>2744.4702694066586</v>
      </c>
      <c r="D46" s="105">
        <v>3057.8850493105801</v>
      </c>
      <c r="E46" s="105">
        <v>2699.9528229057032</v>
      </c>
      <c r="F46" s="169">
        <v>2760.6427820343301</v>
      </c>
      <c r="G46" s="169">
        <v>2663.8572505601301</v>
      </c>
      <c r="H46" s="169">
        <v>2795.5179971491798</v>
      </c>
      <c r="I46" s="169">
        <v>2576.4087243104623</v>
      </c>
      <c r="J46" s="321">
        <v>2695.2326946328299</v>
      </c>
      <c r="K46" s="321">
        <v>2596.0514500047307</v>
      </c>
      <c r="L46" s="321">
        <v>2874.7299946290286</v>
      </c>
      <c r="M46" s="321"/>
      <c r="O46" s="229"/>
    </row>
    <row r="47" spans="1:18" ht="15" customHeight="1">
      <c r="A47" s="83" t="s">
        <v>23</v>
      </c>
      <c r="B47" s="105">
        <v>860.33024654534131</v>
      </c>
      <c r="C47" s="105">
        <v>881.7311209692549</v>
      </c>
      <c r="D47" s="105">
        <v>968.89996192139301</v>
      </c>
      <c r="E47" s="105">
        <v>722.62297733739479</v>
      </c>
      <c r="F47" s="169">
        <v>856.92857983758199</v>
      </c>
      <c r="G47" s="169">
        <v>775.85935032787279</v>
      </c>
      <c r="H47" s="169">
        <v>1020.2499766542028</v>
      </c>
      <c r="I47" s="169">
        <v>963.48614320161823</v>
      </c>
      <c r="J47" s="321">
        <v>892.90247700995917</v>
      </c>
      <c r="K47" s="321">
        <v>988.13043402853498</v>
      </c>
      <c r="L47" s="321">
        <v>1036.9036094779699</v>
      </c>
      <c r="M47" s="321"/>
      <c r="O47" s="229"/>
    </row>
    <row r="48" spans="1:18" ht="15" customHeight="1">
      <c r="A48" s="83" t="s">
        <v>13</v>
      </c>
      <c r="B48" s="105">
        <v>173.1117606569795</v>
      </c>
      <c r="C48" s="105">
        <v>116.11305891512049</v>
      </c>
      <c r="D48" s="105">
        <v>199.70772234004693</v>
      </c>
      <c r="E48" s="105">
        <v>89.104408553200074</v>
      </c>
      <c r="F48" s="169">
        <v>202.38338464281</v>
      </c>
      <c r="G48" s="169">
        <v>106.67755647196751</v>
      </c>
      <c r="H48" s="169">
        <v>-49.51339873610749</v>
      </c>
      <c r="I48" s="169">
        <v>110.8817048839939</v>
      </c>
      <c r="J48" s="321">
        <v>153.3232333921132</v>
      </c>
      <c r="K48" s="321">
        <v>135.57029467297491</v>
      </c>
      <c r="L48" s="321">
        <v>102.0405131183868</v>
      </c>
      <c r="M48" s="321"/>
      <c r="O48" s="229"/>
    </row>
    <row r="49" spans="1:15" ht="15" customHeight="1">
      <c r="A49" s="83" t="s">
        <v>17</v>
      </c>
      <c r="B49" s="105">
        <v>349.02091783180003</v>
      </c>
      <c r="C49" s="105">
        <v>377.15023093219997</v>
      </c>
      <c r="D49" s="105">
        <v>340.76313155720004</v>
      </c>
      <c r="E49" s="105">
        <v>259.56952957130011</v>
      </c>
      <c r="F49" s="169">
        <v>347.63657382789995</v>
      </c>
      <c r="G49" s="169">
        <v>324.64066754060002</v>
      </c>
      <c r="H49" s="169">
        <v>412.84868831599988</v>
      </c>
      <c r="I49" s="169">
        <v>271.0451707947002</v>
      </c>
      <c r="J49" s="321">
        <v>351.28199774974667</v>
      </c>
      <c r="K49" s="321">
        <v>329.59163556175338</v>
      </c>
      <c r="L49" s="321">
        <v>384.14181961298596</v>
      </c>
      <c r="M49" s="321"/>
      <c r="O49" s="229"/>
    </row>
    <row r="50" spans="1:15" ht="15" customHeight="1">
      <c r="A50" s="83" t="s">
        <v>609</v>
      </c>
      <c r="B50" s="105">
        <v>234.97711731129999</v>
      </c>
      <c r="C50" s="105">
        <v>258.92717905790005</v>
      </c>
      <c r="D50" s="105">
        <v>292.12453284830002</v>
      </c>
      <c r="E50" s="105">
        <v>252.54126882909986</v>
      </c>
      <c r="F50" s="169">
        <v>255.89700941699999</v>
      </c>
      <c r="G50" s="169">
        <v>265.4421267541</v>
      </c>
      <c r="H50" s="169">
        <v>312.6776466842</v>
      </c>
      <c r="I50" s="169">
        <v>298.68453975900036</v>
      </c>
      <c r="J50" s="321">
        <v>286.65555201359996</v>
      </c>
      <c r="K50" s="321">
        <v>294.02235471807899</v>
      </c>
      <c r="L50" s="321">
        <v>322.64006213362006</v>
      </c>
      <c r="M50" s="321"/>
      <c r="O50" s="229"/>
    </row>
    <row r="51" spans="1:15" ht="15" customHeight="1">
      <c r="A51" s="83" t="s">
        <v>620</v>
      </c>
      <c r="B51" s="105">
        <v>296.32189296345393</v>
      </c>
      <c r="C51" s="105">
        <v>331.15056169194497</v>
      </c>
      <c r="D51" s="105">
        <v>375.66167693020213</v>
      </c>
      <c r="E51" s="105">
        <v>284.68713159292508</v>
      </c>
      <c r="F51" s="169">
        <v>284.659743013465</v>
      </c>
      <c r="G51" s="169">
        <v>327.62590704152296</v>
      </c>
      <c r="H51" s="169">
        <v>403.62019649067599</v>
      </c>
      <c r="I51" s="169">
        <v>315.69025913337214</v>
      </c>
      <c r="J51" s="321">
        <v>296.45471730362596</v>
      </c>
      <c r="K51" s="321">
        <v>341.29576076850293</v>
      </c>
      <c r="L51" s="321">
        <v>391.39559406732803</v>
      </c>
      <c r="M51" s="321"/>
      <c r="O51" s="229"/>
    </row>
    <row r="52" spans="1:15" ht="15" customHeight="1">
      <c r="A52" s="83" t="s">
        <v>608</v>
      </c>
      <c r="B52" s="105">
        <v>1538.4879783296558</v>
      </c>
      <c r="C52" s="105">
        <v>1469.6111637479341</v>
      </c>
      <c r="D52" s="105">
        <v>1523.6316044027471</v>
      </c>
      <c r="E52" s="105">
        <v>1489.0259064323272</v>
      </c>
      <c r="F52" s="169">
        <v>1750.8864937979411</v>
      </c>
      <c r="G52" s="169">
        <v>1544.2964661408005</v>
      </c>
      <c r="H52" s="169">
        <v>1649.2946525663288</v>
      </c>
      <c r="I52" s="169">
        <v>1581.7179392704247</v>
      </c>
      <c r="J52" s="321">
        <v>1741.0991997832302</v>
      </c>
      <c r="K52" s="321">
        <v>1431.136789843365</v>
      </c>
      <c r="L52" s="321">
        <v>1717.0298366229827</v>
      </c>
      <c r="M52" s="321"/>
      <c r="O52" s="229"/>
    </row>
    <row r="53" spans="1:15" ht="15" customHeight="1">
      <c r="A53" s="83" t="s">
        <v>382</v>
      </c>
      <c r="B53" s="105">
        <v>1432.4512121574999</v>
      </c>
      <c r="C53" s="105">
        <v>1466.3282721662999</v>
      </c>
      <c r="D53" s="105">
        <v>1557.8902422870542</v>
      </c>
      <c r="E53" s="105">
        <v>1642.7319277438601</v>
      </c>
      <c r="F53" s="169">
        <v>1672.4481524345299</v>
      </c>
      <c r="G53" s="169">
        <v>1659.6975103488596</v>
      </c>
      <c r="H53" s="169">
        <v>1507.4436433741948</v>
      </c>
      <c r="I53" s="169">
        <v>1385.2189915358167</v>
      </c>
      <c r="J53" s="321">
        <v>1431.1706606017399</v>
      </c>
      <c r="K53" s="321">
        <v>1541.3819253078948</v>
      </c>
      <c r="L53" s="321">
        <v>1591.6084499252279</v>
      </c>
      <c r="M53" s="321"/>
      <c r="O53" s="229"/>
    </row>
    <row r="54" spans="1:15" ht="15" customHeight="1">
      <c r="A54" s="83" t="s">
        <v>498</v>
      </c>
      <c r="B54" s="105">
        <v>1053.4156823041599</v>
      </c>
      <c r="C54" s="105">
        <v>1098.1045005022715</v>
      </c>
      <c r="D54" s="105">
        <v>1128.8557827944087</v>
      </c>
      <c r="E54" s="105">
        <v>1154.7616841441854</v>
      </c>
      <c r="F54" s="169">
        <v>1362.7526491237479</v>
      </c>
      <c r="G54" s="169">
        <v>1416.2299663041269</v>
      </c>
      <c r="H54" s="169">
        <v>1432.3116636747704</v>
      </c>
      <c r="I54" s="169">
        <v>1587.3403942299419</v>
      </c>
      <c r="J54" s="321">
        <v>1682.798038784098</v>
      </c>
      <c r="K54" s="321">
        <v>1507.131282021935</v>
      </c>
      <c r="L54" s="321">
        <v>1786.5285774791087</v>
      </c>
      <c r="M54" s="321"/>
      <c r="O54" s="229"/>
    </row>
    <row r="55" spans="1:15" ht="15" customHeight="1">
      <c r="A55" s="83" t="s">
        <v>26</v>
      </c>
      <c r="B55" s="105">
        <v>533.70757262650545</v>
      </c>
      <c r="C55" s="105">
        <v>600.03216557261658</v>
      </c>
      <c r="D55" s="105">
        <v>471.41300128727789</v>
      </c>
      <c r="E55" s="105">
        <v>492.42318994094717</v>
      </c>
      <c r="F55" s="169">
        <v>772.62462927170941</v>
      </c>
      <c r="G55" s="169">
        <v>597.59082785565192</v>
      </c>
      <c r="H55" s="169">
        <v>909.54788247237957</v>
      </c>
      <c r="I55" s="169">
        <v>873.752623928292</v>
      </c>
      <c r="J55" s="321">
        <v>843.02686898278398</v>
      </c>
      <c r="K55" s="321">
        <v>904.19125200565372</v>
      </c>
      <c r="L55" s="321">
        <v>955.84263659779322</v>
      </c>
      <c r="M55" s="321"/>
      <c r="O55" s="229"/>
    </row>
    <row r="56" spans="1:15" ht="15" customHeight="1">
      <c r="A56" s="83" t="s">
        <v>45</v>
      </c>
      <c r="B56" s="105">
        <v>1590.0542123770217</v>
      </c>
      <c r="C56" s="105">
        <v>-107.72273041002677</v>
      </c>
      <c r="D56" s="105">
        <v>-124.64252901706982</v>
      </c>
      <c r="E56" s="105">
        <v>-196.79135644515486</v>
      </c>
      <c r="F56" s="169">
        <v>-50.236758371832664</v>
      </c>
      <c r="G56" s="169">
        <v>25.9874204517576</v>
      </c>
      <c r="H56" s="169">
        <v>-80.851604519283825</v>
      </c>
      <c r="I56" s="169">
        <v>-75.458436377626199</v>
      </c>
      <c r="J56" s="321">
        <v>-516.30221162773876</v>
      </c>
      <c r="K56" s="321">
        <v>151.18466987073595</v>
      </c>
      <c r="L56" s="321">
        <v>162.35301335143691</v>
      </c>
      <c r="M56" s="321"/>
      <c r="O56" s="229"/>
    </row>
    <row r="57" spans="1:15" ht="15" customHeight="1">
      <c r="A57" s="83" t="s">
        <v>613</v>
      </c>
      <c r="B57" s="105">
        <v>-68.056916532000002</v>
      </c>
      <c r="C57" s="105">
        <v>-83.103329888314988</v>
      </c>
      <c r="D57" s="105">
        <v>-108.25856419119901</v>
      </c>
      <c r="E57" s="105">
        <v>-248.15049797488001</v>
      </c>
      <c r="F57" s="169">
        <v>152.281980296028</v>
      </c>
      <c r="G57" s="169">
        <v>479.32173092744995</v>
      </c>
      <c r="H57" s="169">
        <v>677.62009063446533</v>
      </c>
      <c r="I57" s="169">
        <v>615.09016105638148</v>
      </c>
      <c r="J57" s="321">
        <v>718.48076474771665</v>
      </c>
      <c r="K57" s="321">
        <v>826.67811169017546</v>
      </c>
      <c r="L57" s="321">
        <v>773.98816587343754</v>
      </c>
      <c r="M57" s="321"/>
      <c r="O57" s="229"/>
    </row>
    <row r="58" spans="1:15" ht="15" customHeight="1">
      <c r="A58" s="83" t="s">
        <v>380</v>
      </c>
      <c r="B58" s="105">
        <v>1721.2102979546021</v>
      </c>
      <c r="C58" s="105">
        <v>462.42488149336077</v>
      </c>
      <c r="D58" s="105">
        <v>465.74509204059495</v>
      </c>
      <c r="E58" s="105">
        <v>445.80137433732625</v>
      </c>
      <c r="F58" s="169">
        <v>458.48329246967603</v>
      </c>
      <c r="G58" s="169">
        <v>476.99423144294485</v>
      </c>
      <c r="H58" s="169">
        <v>582.17432412072617</v>
      </c>
      <c r="I58" s="169">
        <v>500.72905761661309</v>
      </c>
      <c r="J58" s="321">
        <v>730.822603769181</v>
      </c>
      <c r="K58" s="321">
        <v>498.54554666441197</v>
      </c>
      <c r="L58" s="321">
        <v>534.0178082404957</v>
      </c>
      <c r="M58" s="321"/>
      <c r="O58" s="229"/>
    </row>
    <row r="59" spans="1:15" ht="15" customHeight="1">
      <c r="A59" s="83" t="s">
        <v>137</v>
      </c>
      <c r="B59" s="105">
        <v>-191.08154640968999</v>
      </c>
      <c r="C59" s="105">
        <v>-193.66374897753204</v>
      </c>
      <c r="D59" s="105">
        <v>12.839242595826988</v>
      </c>
      <c r="E59" s="105">
        <v>-65.01294153963795</v>
      </c>
      <c r="F59" s="169">
        <v>-70.449082090502998</v>
      </c>
      <c r="G59" s="169">
        <v>-128.22622694333401</v>
      </c>
      <c r="H59" s="169">
        <v>-142.93257038563925</v>
      </c>
      <c r="I59" s="169">
        <v>-402.042926875945</v>
      </c>
      <c r="J59" s="321">
        <v>-312.98066970737602</v>
      </c>
      <c r="K59" s="321">
        <v>-286.54480514329543</v>
      </c>
      <c r="L59" s="321">
        <v>-249.8345275921032</v>
      </c>
      <c r="M59" s="321"/>
      <c r="O59" s="229"/>
    </row>
    <row r="60" spans="1:15" ht="15" customHeight="1">
      <c r="A60" s="83" t="s">
        <v>410</v>
      </c>
      <c r="B60" s="105">
        <v>0</v>
      </c>
      <c r="C60" s="105">
        <v>-0.97599999996765519</v>
      </c>
      <c r="D60" s="105">
        <v>0</v>
      </c>
      <c r="E60" s="105">
        <v>0</v>
      </c>
      <c r="F60" s="169">
        <v>0</v>
      </c>
      <c r="G60" s="169">
        <v>0</v>
      </c>
      <c r="H60" s="169">
        <v>0</v>
      </c>
      <c r="I60" s="169">
        <v>0</v>
      </c>
      <c r="J60" s="321">
        <v>0</v>
      </c>
      <c r="K60" s="321">
        <v>0</v>
      </c>
      <c r="L60" s="321">
        <v>0</v>
      </c>
      <c r="M60" s="321"/>
      <c r="O60" s="229"/>
    </row>
    <row r="61" spans="1:15" ht="18" customHeight="1">
      <c r="A61" s="146" t="s">
        <v>55</v>
      </c>
      <c r="B61" s="106">
        <v>11883.966653666359</v>
      </c>
      <c r="C61" s="106">
        <v>9420.5775951797204</v>
      </c>
      <c r="D61" s="106">
        <v>10162.515947107458</v>
      </c>
      <c r="E61" s="106">
        <v>9023.2674254284229</v>
      </c>
      <c r="F61" s="171">
        <v>10756.900429704443</v>
      </c>
      <c r="G61" s="171">
        <v>10536.033785224363</v>
      </c>
      <c r="H61" s="171">
        <v>11430.009188496215</v>
      </c>
      <c r="I61" s="171">
        <v>10602.543606354206</v>
      </c>
      <c r="J61" s="334">
        <v>10993.965927435485</v>
      </c>
      <c r="K61" s="334">
        <v>11258.366702015475</v>
      </c>
      <c r="L61" s="334">
        <v>12383.385528358678</v>
      </c>
      <c r="M61" s="334"/>
      <c r="O61" s="229"/>
    </row>
    <row r="62" spans="1:15" ht="15" customHeight="1">
      <c r="A62" s="93"/>
      <c r="B62" s="93"/>
      <c r="C62" s="93"/>
      <c r="D62" s="93"/>
      <c r="E62" s="93"/>
      <c r="F62" s="93"/>
      <c r="G62" s="93"/>
      <c r="H62" s="93"/>
      <c r="I62" s="93"/>
      <c r="J62" s="93"/>
      <c r="K62" s="93"/>
      <c r="L62" s="93"/>
      <c r="M62" s="93"/>
      <c r="O62" s="229"/>
    </row>
    <row r="63" spans="1:15" ht="15" customHeight="1" thickBot="1">
      <c r="A63" s="92" t="s">
        <v>32</v>
      </c>
      <c r="B63" s="93"/>
      <c r="C63" s="93"/>
      <c r="D63" s="93"/>
      <c r="E63" s="93"/>
      <c r="F63" s="93"/>
      <c r="G63" s="93"/>
      <c r="H63" s="93"/>
      <c r="I63" s="93"/>
      <c r="J63" s="93"/>
      <c r="K63" s="93"/>
      <c r="L63" s="93"/>
      <c r="M63" s="93"/>
      <c r="O63" s="229"/>
    </row>
    <row r="64" spans="1:15" ht="15" customHeight="1" thickBot="1">
      <c r="A64" s="78" t="s">
        <v>33</v>
      </c>
      <c r="B64" s="576">
        <v>2014</v>
      </c>
      <c r="C64" s="577"/>
      <c r="D64" s="577"/>
      <c r="E64" s="578"/>
      <c r="F64" s="579">
        <v>2015</v>
      </c>
      <c r="G64" s="580"/>
      <c r="H64" s="580"/>
      <c r="I64" s="581"/>
      <c r="J64" s="582">
        <v>2016</v>
      </c>
      <c r="K64" s="583"/>
      <c r="L64" s="583"/>
      <c r="M64" s="583"/>
      <c r="O64" s="229"/>
    </row>
    <row r="65" spans="1:15" ht="15" customHeight="1" thickBot="1">
      <c r="A65" s="79" t="s">
        <v>527</v>
      </c>
      <c r="B65" s="290" t="s">
        <v>510</v>
      </c>
      <c r="C65" s="290" t="s">
        <v>511</v>
      </c>
      <c r="D65" s="290" t="s">
        <v>513</v>
      </c>
      <c r="E65" s="290" t="s">
        <v>514</v>
      </c>
      <c r="F65" s="311" t="s">
        <v>510</v>
      </c>
      <c r="G65" s="311" t="s">
        <v>511</v>
      </c>
      <c r="H65" s="311" t="s">
        <v>513</v>
      </c>
      <c r="I65" s="312" t="s">
        <v>514</v>
      </c>
      <c r="J65" s="237" t="s">
        <v>510</v>
      </c>
      <c r="K65" s="237" t="s">
        <v>511</v>
      </c>
      <c r="L65" s="237" t="s">
        <v>513</v>
      </c>
      <c r="M65" s="292" t="s">
        <v>514</v>
      </c>
      <c r="O65" s="229"/>
    </row>
    <row r="66" spans="1:15" ht="15" customHeight="1">
      <c r="A66" s="83" t="s">
        <v>47</v>
      </c>
      <c r="B66" s="105">
        <v>1506.9559081332063</v>
      </c>
      <c r="C66" s="105">
        <v>1921.6605900961627</v>
      </c>
      <c r="D66" s="105">
        <v>2194.4162554383797</v>
      </c>
      <c r="E66" s="105">
        <v>1806.9438668352732</v>
      </c>
      <c r="F66" s="169">
        <v>1869.2860348393731</v>
      </c>
      <c r="G66" s="169">
        <v>1775.156014644537</v>
      </c>
      <c r="H66" s="169">
        <v>1900.0454308046506</v>
      </c>
      <c r="I66" s="169">
        <v>1673.0656083194517</v>
      </c>
      <c r="J66" s="321">
        <v>1772.1601174585769</v>
      </c>
      <c r="K66" s="321">
        <v>1681.4841826207337</v>
      </c>
      <c r="L66" s="321">
        <v>1922.2069936076286</v>
      </c>
      <c r="M66" s="321"/>
      <c r="O66" s="229"/>
    </row>
    <row r="67" spans="1:15" ht="15" customHeight="1">
      <c r="A67" s="83" t="s">
        <v>23</v>
      </c>
      <c r="B67" s="105">
        <v>471.17469054285033</v>
      </c>
      <c r="C67" s="105">
        <v>506.68042896311277</v>
      </c>
      <c r="D67" s="105">
        <v>581.64262238638617</v>
      </c>
      <c r="E67" s="105">
        <v>340.88369464878474</v>
      </c>
      <c r="F67" s="169">
        <v>491.08664156606602</v>
      </c>
      <c r="G67" s="169">
        <v>416.05652290527388</v>
      </c>
      <c r="H67" s="169">
        <v>641.2660248706776</v>
      </c>
      <c r="I67" s="169">
        <v>545.7355695820786</v>
      </c>
      <c r="J67" s="321">
        <v>479.24708495665919</v>
      </c>
      <c r="K67" s="321">
        <v>586.97481684484865</v>
      </c>
      <c r="L67" s="321">
        <v>649.8647929648148</v>
      </c>
      <c r="M67" s="321"/>
      <c r="O67" s="229"/>
    </row>
    <row r="68" spans="1:15" ht="15" customHeight="1">
      <c r="A68" s="83" t="s">
        <v>13</v>
      </c>
      <c r="B68" s="105">
        <v>-41.14115497918047</v>
      </c>
      <c r="C68" s="105">
        <v>-68.196671473657517</v>
      </c>
      <c r="D68" s="105">
        <v>23.486448304179987</v>
      </c>
      <c r="E68" s="105">
        <v>-111.01731330631401</v>
      </c>
      <c r="F68" s="169">
        <v>1.234705160460976</v>
      </c>
      <c r="G68" s="169">
        <v>-71.973710154701507</v>
      </c>
      <c r="H68" s="169">
        <v>-233.27049460774941</v>
      </c>
      <c r="I68" s="169">
        <v>-2211.8101323551882</v>
      </c>
      <c r="J68" s="321">
        <v>79.780174372628792</v>
      </c>
      <c r="K68" s="321">
        <v>67.87029657399232</v>
      </c>
      <c r="L68" s="321">
        <v>62.219031063782779</v>
      </c>
      <c r="M68" s="321"/>
      <c r="O68" s="229"/>
    </row>
    <row r="69" spans="1:15" ht="15" customHeight="1">
      <c r="A69" s="83" t="s">
        <v>17</v>
      </c>
      <c r="B69" s="105">
        <v>237.60575334401506</v>
      </c>
      <c r="C69" s="105">
        <v>259.76466767985596</v>
      </c>
      <c r="D69" s="105">
        <v>224.65038689595906</v>
      </c>
      <c r="E69" s="105">
        <v>129.10952185732913</v>
      </c>
      <c r="F69" s="169">
        <v>207.95901071317894</v>
      </c>
      <c r="G69" s="169">
        <v>184.62282483594504</v>
      </c>
      <c r="H69" s="169">
        <v>262.07418352756281</v>
      </c>
      <c r="I69" s="169">
        <v>105.37615362823021</v>
      </c>
      <c r="J69" s="321">
        <v>189.80334125102064</v>
      </c>
      <c r="K69" s="321">
        <v>172.63710836680639</v>
      </c>
      <c r="L69" s="321">
        <v>239.43499710168697</v>
      </c>
      <c r="M69" s="321"/>
      <c r="O69" s="229"/>
    </row>
    <row r="70" spans="1:15" ht="15" customHeight="1">
      <c r="A70" s="83" t="s">
        <v>609</v>
      </c>
      <c r="B70" s="105">
        <v>-175.79224879580005</v>
      </c>
      <c r="C70" s="105">
        <v>-195.76849523499982</v>
      </c>
      <c r="D70" s="105">
        <v>-72.631196161700302</v>
      </c>
      <c r="E70" s="105">
        <v>38.433536407100064</v>
      </c>
      <c r="F70" s="169">
        <v>173.32521462899999</v>
      </c>
      <c r="G70" s="169">
        <v>119.15681964400002</v>
      </c>
      <c r="H70" s="169">
        <v>138.61702837069998</v>
      </c>
      <c r="I70" s="169">
        <v>183.64129784092233</v>
      </c>
      <c r="J70" s="321">
        <v>137.35411622554395</v>
      </c>
      <c r="K70" s="321">
        <v>150.17701388407599</v>
      </c>
      <c r="L70" s="321">
        <v>178.76897079474008</v>
      </c>
      <c r="M70" s="321"/>
      <c r="O70" s="229"/>
    </row>
    <row r="71" spans="1:15" ht="15" customHeight="1">
      <c r="A71" s="83" t="s">
        <v>620</v>
      </c>
      <c r="B71" s="105">
        <v>202.58393567052494</v>
      </c>
      <c r="C71" s="105">
        <v>238.56629878715691</v>
      </c>
      <c r="D71" s="105">
        <v>285.55077993981018</v>
      </c>
      <c r="E71" s="105">
        <v>186.69028271109403</v>
      </c>
      <c r="F71" s="169">
        <v>184.488940644601</v>
      </c>
      <c r="G71" s="169">
        <v>226.81226400743</v>
      </c>
      <c r="H71" s="169">
        <v>293.47019232720794</v>
      </c>
      <c r="I71" s="169">
        <v>197.17269845049213</v>
      </c>
      <c r="J71" s="321">
        <v>168.65836152618496</v>
      </c>
      <c r="K71" s="321">
        <v>214.15881706353693</v>
      </c>
      <c r="L71" s="321">
        <v>260.67938113048098</v>
      </c>
      <c r="M71" s="321"/>
      <c r="O71" s="229"/>
    </row>
    <row r="72" spans="1:15" ht="15" customHeight="1">
      <c r="A72" s="83" t="s">
        <v>608</v>
      </c>
      <c r="B72" s="105">
        <v>913.61545039005875</v>
      </c>
      <c r="C72" s="105">
        <v>831.06460932889115</v>
      </c>
      <c r="D72" s="105">
        <v>781.27432877349702</v>
      </c>
      <c r="E72" s="105">
        <v>598.31302206233704</v>
      </c>
      <c r="F72" s="169">
        <v>779.36649897998404</v>
      </c>
      <c r="G72" s="169">
        <v>550.44956656227737</v>
      </c>
      <c r="H72" s="169">
        <v>584.32283191966917</v>
      </c>
      <c r="I72" s="169">
        <v>418.60261189046446</v>
      </c>
      <c r="J72" s="321">
        <v>515.43708921014013</v>
      </c>
      <c r="K72" s="321">
        <v>173.56860367263471</v>
      </c>
      <c r="L72" s="321">
        <v>341.34630545501295</v>
      </c>
      <c r="M72" s="321"/>
      <c r="O72" s="229"/>
    </row>
    <row r="73" spans="1:15" ht="15" customHeight="1">
      <c r="A73" s="83" t="s">
        <v>382</v>
      </c>
      <c r="B73" s="105">
        <v>1211.6297372049999</v>
      </c>
      <c r="C73" s="105">
        <v>1250.5331244486001</v>
      </c>
      <c r="D73" s="105">
        <v>1303.4532317326762</v>
      </c>
      <c r="E73" s="105">
        <v>1359.543900677098</v>
      </c>
      <c r="F73" s="169">
        <v>1370.8892012944659</v>
      </c>
      <c r="G73" s="169">
        <v>1342.0685742034996</v>
      </c>
      <c r="H73" s="169">
        <v>1161.605236044054</v>
      </c>
      <c r="I73" s="169">
        <v>1048.2812348954162</v>
      </c>
      <c r="J73" s="321">
        <v>1110.4941965580438</v>
      </c>
      <c r="K73" s="321">
        <v>1245.3988618364388</v>
      </c>
      <c r="L73" s="321">
        <v>1233.9186945318793</v>
      </c>
      <c r="M73" s="321"/>
      <c r="O73" s="229"/>
    </row>
    <row r="74" spans="1:15" ht="15" customHeight="1">
      <c r="A74" s="83" t="s">
        <v>498</v>
      </c>
      <c r="B74" s="105">
        <v>724.87618741290476</v>
      </c>
      <c r="C74" s="105">
        <v>781.17887833096461</v>
      </c>
      <c r="D74" s="105">
        <v>778.03523285425081</v>
      </c>
      <c r="E74" s="105">
        <v>715.5602564370156</v>
      </c>
      <c r="F74" s="169">
        <v>955.45728344414294</v>
      </c>
      <c r="G74" s="169">
        <v>944.62843508811181</v>
      </c>
      <c r="H74" s="169">
        <v>893.8914736288807</v>
      </c>
      <c r="I74" s="169">
        <v>1035.4619211951917</v>
      </c>
      <c r="J74" s="321">
        <v>1123.9069510284121</v>
      </c>
      <c r="K74" s="321">
        <v>948.12612172793115</v>
      </c>
      <c r="L74" s="321">
        <v>1235.7041168340584</v>
      </c>
      <c r="M74" s="321"/>
      <c r="O74" s="229"/>
    </row>
    <row r="75" spans="1:15" ht="15" customHeight="1">
      <c r="A75" s="83" t="s">
        <v>26</v>
      </c>
      <c r="B75" s="105">
        <v>369.37229471074045</v>
      </c>
      <c r="C75" s="105">
        <v>397.45150366935354</v>
      </c>
      <c r="D75" s="105">
        <v>269.51719405390816</v>
      </c>
      <c r="E75" s="105">
        <v>260.16496967940202</v>
      </c>
      <c r="F75" s="169">
        <v>517.69116774904944</v>
      </c>
      <c r="G75" s="169">
        <v>340.37471224841488</v>
      </c>
      <c r="H75" s="169">
        <v>626.63816072484167</v>
      </c>
      <c r="I75" s="169">
        <v>584.47306552065697</v>
      </c>
      <c r="J75" s="321">
        <v>546.66671809413606</v>
      </c>
      <c r="K75" s="321">
        <v>615.69861098392471</v>
      </c>
      <c r="L75" s="321">
        <v>614.91555943617914</v>
      </c>
      <c r="M75" s="321"/>
      <c r="O75" s="229"/>
    </row>
    <row r="76" spans="1:15" ht="15" customHeight="1">
      <c r="A76" s="83" t="s">
        <v>45</v>
      </c>
      <c r="B76" s="105">
        <v>1530.9910503713284</v>
      </c>
      <c r="C76" s="105">
        <v>-169.61694240695579</v>
      </c>
      <c r="D76" s="105">
        <v>-194.71432055674177</v>
      </c>
      <c r="E76" s="105">
        <v>-284.70216349464602</v>
      </c>
      <c r="F76" s="169">
        <v>-158.83302150098706</v>
      </c>
      <c r="G76" s="169">
        <v>-90.319524137592367</v>
      </c>
      <c r="H76" s="169">
        <v>-373.44536279218687</v>
      </c>
      <c r="I76" s="169">
        <v>-367.86894773588585</v>
      </c>
      <c r="J76" s="321">
        <v>-3099.7137523724168</v>
      </c>
      <c r="K76" s="321">
        <v>-131.90584262625225</v>
      </c>
      <c r="L76" s="321">
        <v>-4043.1613392432851</v>
      </c>
      <c r="M76" s="321"/>
      <c r="O76" s="229"/>
    </row>
    <row r="77" spans="1:15" ht="15" customHeight="1">
      <c r="A77" s="83" t="s">
        <v>613</v>
      </c>
      <c r="B77" s="105">
        <v>-70.799127102</v>
      </c>
      <c r="C77" s="105">
        <v>-85.945905888314996</v>
      </c>
      <c r="D77" s="105">
        <v>-112.317334416199</v>
      </c>
      <c r="E77" s="105">
        <v>-336.20785296725296</v>
      </c>
      <c r="F77" s="169">
        <v>32.373820628028</v>
      </c>
      <c r="G77" s="169">
        <v>374.49939128093996</v>
      </c>
      <c r="H77" s="169">
        <v>552.7006553670044</v>
      </c>
      <c r="I77" s="169">
        <v>423.23597416018151</v>
      </c>
      <c r="J77" s="321">
        <v>527.92351887699067</v>
      </c>
      <c r="K77" s="321">
        <v>614.13124301188839</v>
      </c>
      <c r="L77" s="321">
        <v>539.79932291261775</v>
      </c>
      <c r="M77" s="321"/>
      <c r="O77" s="229"/>
    </row>
    <row r="78" spans="1:15" ht="15" customHeight="1">
      <c r="A78" s="83" t="s">
        <v>380</v>
      </c>
      <c r="B78" s="105">
        <v>1583.0560379781582</v>
      </c>
      <c r="C78" s="105">
        <v>329.97770121665053</v>
      </c>
      <c r="D78" s="105">
        <v>332.98767303387422</v>
      </c>
      <c r="E78" s="105">
        <v>310.41747944611916</v>
      </c>
      <c r="F78" s="169">
        <v>325.68620136727702</v>
      </c>
      <c r="G78" s="169">
        <v>342.33026014814084</v>
      </c>
      <c r="H78" s="169">
        <v>418.45752710055717</v>
      </c>
      <c r="I78" s="169">
        <v>335.67346077247316</v>
      </c>
      <c r="J78" s="321">
        <v>441.52781376169605</v>
      </c>
      <c r="K78" s="321">
        <v>322.8118346601301</v>
      </c>
      <c r="L78" s="321">
        <v>364.11777106023203</v>
      </c>
      <c r="M78" s="321"/>
      <c r="O78" s="229"/>
    </row>
    <row r="79" spans="1:15" ht="15" customHeight="1">
      <c r="A79" s="83" t="s">
        <v>137</v>
      </c>
      <c r="B79" s="105">
        <v>-308.08142225368999</v>
      </c>
      <c r="C79" s="105">
        <v>-312.50582947347402</v>
      </c>
      <c r="D79" s="105">
        <v>-123.11188584564297</v>
      </c>
      <c r="E79" s="105">
        <v>-204.24381221504404</v>
      </c>
      <c r="F79" s="169">
        <v>-189.45521301711378</v>
      </c>
      <c r="G79" s="169">
        <v>-259.79910742916479</v>
      </c>
      <c r="H79" s="169">
        <v>-280.29033022614311</v>
      </c>
      <c r="I79" s="169">
        <v>-555.34044517616246</v>
      </c>
      <c r="J79" s="321">
        <v>-474.04710349166493</v>
      </c>
      <c r="K79" s="321">
        <v>-466.08009428393342</v>
      </c>
      <c r="L79" s="321">
        <v>-432.86904984052501</v>
      </c>
      <c r="M79" s="321"/>
      <c r="O79" s="229"/>
    </row>
    <row r="80" spans="1:15" ht="15" customHeight="1">
      <c r="A80" s="83" t="s">
        <v>410</v>
      </c>
      <c r="B80" s="105">
        <v>1.2535313333031581</v>
      </c>
      <c r="C80" s="105">
        <v>0</v>
      </c>
      <c r="D80" s="105">
        <v>1.1719924115378788</v>
      </c>
      <c r="E80" s="105">
        <v>1.0968532550776402</v>
      </c>
      <c r="F80" s="169">
        <v>3.2310456667246914</v>
      </c>
      <c r="G80" s="169">
        <v>-1.083579000126571</v>
      </c>
      <c r="H80" s="169">
        <v>1.0738638335187716</v>
      </c>
      <c r="I80" s="169">
        <v>1.302796810385189</v>
      </c>
      <c r="J80" s="321">
        <v>1.073776853313575</v>
      </c>
      <c r="K80" s="321">
        <v>0.51873333335210248</v>
      </c>
      <c r="L80" s="321">
        <v>0.51870815433395023</v>
      </c>
      <c r="M80" s="321"/>
      <c r="O80" s="229"/>
    </row>
    <row r="81" spans="1:15" ht="18" customHeight="1">
      <c r="A81" s="146" t="s">
        <v>55</v>
      </c>
      <c r="B81" s="106">
        <v>8157.3006239614188</v>
      </c>
      <c r="C81" s="106">
        <v>5684.9416913767245</v>
      </c>
      <c r="D81" s="106">
        <v>6273.4114088441756</v>
      </c>
      <c r="E81" s="106">
        <v>4810.9862420333729</v>
      </c>
      <c r="F81" s="171">
        <v>6563.7875321642514</v>
      </c>
      <c r="G81" s="171">
        <v>6192.9794648469833</v>
      </c>
      <c r="H81" s="171">
        <v>6587.156420893245</v>
      </c>
      <c r="I81" s="171">
        <v>3417.0028677987075</v>
      </c>
      <c r="J81" s="334">
        <v>3520.2724043092635</v>
      </c>
      <c r="K81" s="334">
        <v>6195.5703076701102</v>
      </c>
      <c r="L81" s="334">
        <v>3167.4642559636382</v>
      </c>
      <c r="M81" s="334"/>
      <c r="O81" s="229"/>
    </row>
    <row r="83" spans="1:15" ht="15">
      <c r="A83" s="30"/>
    </row>
    <row r="84" spans="1:15" ht="15">
      <c r="A84" s="30"/>
    </row>
  </sheetData>
  <mergeCells count="12">
    <mergeCell ref="B4:E4"/>
    <mergeCell ref="B24:E24"/>
    <mergeCell ref="B44:E44"/>
    <mergeCell ref="B64:E64"/>
    <mergeCell ref="J4:M4"/>
    <mergeCell ref="J24:M24"/>
    <mergeCell ref="J44:M44"/>
    <mergeCell ref="J64:M64"/>
    <mergeCell ref="F4:I4"/>
    <mergeCell ref="F24:I24"/>
    <mergeCell ref="F44:I44"/>
    <mergeCell ref="F64:I64"/>
  </mergeCells>
  <pageMargins left="0.43" right="0.38" top="0.68" bottom="0.63" header="0.5" footer="0.5"/>
  <pageSetup paperSize="9" scale="4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9" enableFormatConditionsCalculation="0">
    <tabColor indexed="25"/>
    <pageSetUpPr fitToPage="1"/>
  </sheetPr>
  <dimension ref="A1:O49"/>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13.7109375" customWidth="1"/>
  </cols>
  <sheetData>
    <row r="1" spans="1:15" ht="15" customHeight="1"/>
    <row r="2" spans="1:15" ht="15" customHeight="1"/>
    <row r="3" spans="1:15" s="1" customFormat="1" ht="15" customHeight="1" thickBot="1">
      <c r="A3" s="9" t="s">
        <v>566</v>
      </c>
      <c r="B3" s="93"/>
      <c r="C3" s="93"/>
      <c r="D3" s="93"/>
      <c r="E3" s="93"/>
      <c r="F3" s="93"/>
      <c r="G3" s="93"/>
      <c r="H3" s="93"/>
      <c r="I3" s="93"/>
      <c r="J3" s="93"/>
      <c r="K3" s="93"/>
      <c r="L3" s="93"/>
      <c r="M3" s="93"/>
    </row>
    <row r="4" spans="1:15" s="1" customFormat="1" ht="15" customHeight="1" thickBot="1">
      <c r="A4" s="10" t="s">
        <v>33</v>
      </c>
      <c r="B4" s="576">
        <v>2014</v>
      </c>
      <c r="C4" s="577"/>
      <c r="D4" s="577"/>
      <c r="E4" s="578"/>
      <c r="F4" s="579">
        <v>2015</v>
      </c>
      <c r="G4" s="580"/>
      <c r="H4" s="580"/>
      <c r="I4" s="581"/>
      <c r="J4" s="582">
        <v>2016</v>
      </c>
      <c r="K4" s="583"/>
      <c r="L4" s="583"/>
      <c r="M4" s="583"/>
    </row>
    <row r="5" spans="1:15" s="1" customFormat="1" ht="15" customHeight="1" thickBot="1">
      <c r="A5" s="11" t="s">
        <v>527</v>
      </c>
      <c r="B5" s="262" t="s">
        <v>31</v>
      </c>
      <c r="C5" s="262" t="s">
        <v>30</v>
      </c>
      <c r="D5" s="262" t="s">
        <v>29</v>
      </c>
      <c r="E5" s="263" t="s">
        <v>28</v>
      </c>
      <c r="F5" s="341" t="s">
        <v>31</v>
      </c>
      <c r="G5" s="341" t="s">
        <v>30</v>
      </c>
      <c r="H5" s="341" t="s">
        <v>29</v>
      </c>
      <c r="I5" s="341" t="s">
        <v>28</v>
      </c>
      <c r="J5" s="397" t="s">
        <v>31</v>
      </c>
      <c r="K5" s="397" t="s">
        <v>30</v>
      </c>
      <c r="L5" s="398" t="s">
        <v>29</v>
      </c>
      <c r="M5" s="398" t="s">
        <v>28</v>
      </c>
    </row>
    <row r="6" spans="1:15" s="1" customFormat="1" ht="15" customHeight="1">
      <c r="A6" s="218" t="s">
        <v>473</v>
      </c>
      <c r="B6" s="105">
        <v>2687.8698535888302</v>
      </c>
      <c r="C6" s="105">
        <v>2417.1595256375599</v>
      </c>
      <c r="D6" s="105">
        <v>2324.3125680451103</v>
      </c>
      <c r="E6" s="105">
        <v>3432.3043682825801</v>
      </c>
      <c r="F6" s="285">
        <v>2830.5622882928201</v>
      </c>
      <c r="G6" s="285">
        <v>2122.6346255555</v>
      </c>
      <c r="H6" s="285">
        <v>2820.1022509956897</v>
      </c>
      <c r="I6" s="285">
        <v>3365.9831443610101</v>
      </c>
      <c r="J6" s="342">
        <v>2271.1897782687897</v>
      </c>
      <c r="K6" s="342">
        <v>2115.1901848805401</v>
      </c>
      <c r="L6" s="342">
        <v>1218.2505568285899</v>
      </c>
      <c r="M6" s="342"/>
      <c r="N6" s="153"/>
      <c r="O6" s="571"/>
    </row>
    <row r="7" spans="1:15" s="1" customFormat="1" ht="15" customHeight="1">
      <c r="A7" s="219" t="s">
        <v>474</v>
      </c>
      <c r="B7" s="105">
        <v>20954.879168569401</v>
      </c>
      <c r="C7" s="105">
        <v>21226.060752056899</v>
      </c>
      <c r="D7" s="105">
        <v>20707.494292935298</v>
      </c>
      <c r="E7" s="105">
        <v>22492.851521673303</v>
      </c>
      <c r="F7" s="285">
        <v>22534.902173055802</v>
      </c>
      <c r="G7" s="285">
        <v>22280.076613554698</v>
      </c>
      <c r="H7" s="285">
        <v>23565.136456279</v>
      </c>
      <c r="I7" s="285">
        <v>23968.242708917802</v>
      </c>
      <c r="J7" s="342">
        <v>25829.117975788202</v>
      </c>
      <c r="K7" s="342">
        <v>25783.1489684396</v>
      </c>
      <c r="L7" s="342">
        <v>25040.471524642799</v>
      </c>
      <c r="M7" s="342"/>
      <c r="N7" s="153"/>
      <c r="O7" s="571"/>
    </row>
    <row r="8" spans="1:15" s="1" customFormat="1" ht="15" customHeight="1">
      <c r="A8" s="219" t="s">
        <v>475</v>
      </c>
      <c r="B8" s="105">
        <v>34237.2278639535</v>
      </c>
      <c r="C8" s="105">
        <v>35389.4430322142</v>
      </c>
      <c r="D8" s="105">
        <v>35956.629752320601</v>
      </c>
      <c r="E8" s="105">
        <v>39982.280589298702</v>
      </c>
      <c r="F8" s="285">
        <v>41515.944892155996</v>
      </c>
      <c r="G8" s="285">
        <v>38943.180291979304</v>
      </c>
      <c r="H8" s="285">
        <v>39731.878107254306</v>
      </c>
      <c r="I8" s="285">
        <v>40495.389427439906</v>
      </c>
      <c r="J8" s="342">
        <v>37956.356318818296</v>
      </c>
      <c r="K8" s="342">
        <v>40085.150217691706</v>
      </c>
      <c r="L8" s="342">
        <v>33763.021904381501</v>
      </c>
      <c r="M8" s="342"/>
      <c r="N8" s="153"/>
      <c r="O8" s="571"/>
    </row>
    <row r="9" spans="1:15" s="1" customFormat="1" ht="15" customHeight="1">
      <c r="A9" s="219" t="s">
        <v>69</v>
      </c>
      <c r="B9" s="105">
        <v>50603.778714917804</v>
      </c>
      <c r="C9" s="105">
        <v>51739.5708916601</v>
      </c>
      <c r="D9" s="105">
        <v>52904.367230449301</v>
      </c>
      <c r="E9" s="105">
        <v>59561.979949984998</v>
      </c>
      <c r="F9" s="285">
        <v>62393.411997546405</v>
      </c>
      <c r="G9" s="285">
        <v>64369.026163680493</v>
      </c>
      <c r="H9" s="285">
        <v>67399.642448422397</v>
      </c>
      <c r="I9" s="285">
        <v>69211.183288167886</v>
      </c>
      <c r="J9" s="342">
        <v>68155.6372952362</v>
      </c>
      <c r="K9" s="342">
        <v>69447.378129544697</v>
      </c>
      <c r="L9" s="342">
        <v>68167.922224683003</v>
      </c>
      <c r="M9" s="342"/>
      <c r="N9" s="153"/>
      <c r="O9" s="571"/>
    </row>
    <row r="10" spans="1:15" s="1" customFormat="1" ht="15" customHeight="1">
      <c r="A10" s="219" t="s">
        <v>616</v>
      </c>
      <c r="B10" s="105">
        <v>32428.1744579113</v>
      </c>
      <c r="C10" s="105">
        <v>31609.501413276299</v>
      </c>
      <c r="D10" s="105">
        <v>30100.906485643798</v>
      </c>
      <c r="E10" s="105">
        <v>24157.275662769</v>
      </c>
      <c r="F10" s="285">
        <v>25632.181646069199</v>
      </c>
      <c r="G10" s="285">
        <v>27632.822313107299</v>
      </c>
      <c r="H10" s="285">
        <v>23065.337538850898</v>
      </c>
      <c r="I10" s="285">
        <v>19400.276764895803</v>
      </c>
      <c r="J10" s="342">
        <v>22475.983566290499</v>
      </c>
      <c r="K10" s="342">
        <v>20923.508848759499</v>
      </c>
      <c r="L10" s="342">
        <v>13712.210912569099</v>
      </c>
      <c r="M10" s="342"/>
      <c r="N10" s="153"/>
      <c r="O10" s="571"/>
    </row>
    <row r="11" spans="1:15" s="1" customFormat="1" ht="15" customHeight="1">
      <c r="A11" s="219" t="s">
        <v>70</v>
      </c>
      <c r="B11" s="109">
        <v>4713.7076010951714</v>
      </c>
      <c r="C11" s="109">
        <v>4880.1958517369349</v>
      </c>
      <c r="D11" s="109">
        <v>4948.1119282528816</v>
      </c>
      <c r="E11" s="109">
        <v>6093.4737080023915</v>
      </c>
      <c r="F11" s="285">
        <v>6148.0671741817787</v>
      </c>
      <c r="G11" s="285">
        <v>4020.1723758267181</v>
      </c>
      <c r="H11" s="285">
        <v>5816.013599952712</v>
      </c>
      <c r="I11" s="285">
        <v>6154.746299443621</v>
      </c>
      <c r="J11" s="342">
        <v>5667.8842219440266</v>
      </c>
      <c r="K11" s="342">
        <v>5525.6660702939553</v>
      </c>
      <c r="L11" s="342">
        <v>5873.1467238689947</v>
      </c>
      <c r="M11" s="342"/>
      <c r="N11" s="153"/>
      <c r="O11" s="571"/>
    </row>
    <row r="12" spans="1:15" s="1" customFormat="1" ht="18" customHeight="1">
      <c r="A12" s="220" t="s">
        <v>501</v>
      </c>
      <c r="B12" s="107">
        <v>145625.63766003601</v>
      </c>
      <c r="C12" s="107">
        <v>147261.931466582</v>
      </c>
      <c r="D12" s="107">
        <v>146941.822257647</v>
      </c>
      <c r="E12" s="107">
        <v>155720.16580001099</v>
      </c>
      <c r="F12" s="286">
        <v>161055.07017130201</v>
      </c>
      <c r="G12" s="286">
        <v>159367.91238370401</v>
      </c>
      <c r="H12" s="286">
        <v>162398.110401755</v>
      </c>
      <c r="I12" s="286">
        <v>162595.82163322601</v>
      </c>
      <c r="J12" s="343">
        <v>162356.169156346</v>
      </c>
      <c r="K12" s="343">
        <v>163880.04241960999</v>
      </c>
      <c r="L12" s="343">
        <v>147775.02384697399</v>
      </c>
      <c r="M12" s="343"/>
      <c r="N12" s="153"/>
      <c r="O12" s="571"/>
    </row>
    <row r="13" spans="1:15" s="1" customFormat="1" ht="15" customHeight="1">
      <c r="A13" s="219"/>
      <c r="B13" s="105"/>
      <c r="C13" s="105"/>
      <c r="D13" s="105"/>
      <c r="E13" s="105"/>
      <c r="F13" s="285"/>
      <c r="G13" s="285"/>
      <c r="H13" s="285"/>
      <c r="I13" s="285"/>
      <c r="J13" s="342"/>
      <c r="K13" s="342"/>
      <c r="L13" s="342"/>
      <c r="M13" s="342"/>
      <c r="N13" s="153"/>
      <c r="O13" s="571"/>
    </row>
    <row r="14" spans="1:15" s="1" customFormat="1" ht="15" customHeight="1">
      <c r="A14" s="219" t="s">
        <v>603</v>
      </c>
      <c r="B14" s="105">
        <v>283.16905222480898</v>
      </c>
      <c r="C14" s="105">
        <v>97.126468715288993</v>
      </c>
      <c r="D14" s="105">
        <v>131.35761823009</v>
      </c>
      <c r="E14" s="105">
        <v>224.15869332293701</v>
      </c>
      <c r="F14" s="285">
        <v>310.099118113918</v>
      </c>
      <c r="G14" s="285">
        <v>207.28101100787899</v>
      </c>
      <c r="H14" s="285">
        <v>539.87909048958397</v>
      </c>
      <c r="I14" s="285">
        <v>770.10678090032604</v>
      </c>
      <c r="J14" s="342">
        <v>1002.3167465584</v>
      </c>
      <c r="K14" s="342">
        <v>868.33952928856297</v>
      </c>
      <c r="L14" s="342">
        <v>802.19028869324302</v>
      </c>
      <c r="M14" s="342"/>
      <c r="N14" s="153"/>
      <c r="O14" s="571"/>
    </row>
    <row r="15" spans="1:15" s="1" customFormat="1" ht="15" customHeight="1">
      <c r="A15" s="219" t="s">
        <v>551</v>
      </c>
      <c r="B15" s="105">
        <v>1343.91145448112</v>
      </c>
      <c r="C15" s="105">
        <v>1328.82586434829</v>
      </c>
      <c r="D15" s="105">
        <v>1178.2400851540599</v>
      </c>
      <c r="E15" s="105">
        <v>2051.7656972166501</v>
      </c>
      <c r="F15" s="285">
        <v>2028.0316405185799</v>
      </c>
      <c r="G15" s="285">
        <v>1959.5430990233599</v>
      </c>
      <c r="H15" s="285">
        <v>1549.61105919328</v>
      </c>
      <c r="I15" s="285">
        <v>2271.4033826446498</v>
      </c>
      <c r="J15" s="342">
        <v>2068.6340882910399</v>
      </c>
      <c r="K15" s="342">
        <v>1863.6921721017002</v>
      </c>
      <c r="L15" s="342">
        <v>1427.4742521319101</v>
      </c>
      <c r="M15" s="342"/>
      <c r="N15" s="153"/>
      <c r="O15" s="571"/>
    </row>
    <row r="16" spans="1:15" ht="15" customHeight="1">
      <c r="A16" s="219" t="s">
        <v>552</v>
      </c>
      <c r="B16" s="105">
        <v>19229.616004847638</v>
      </c>
      <c r="C16" s="105">
        <v>19039.123575249541</v>
      </c>
      <c r="D16" s="105">
        <v>18945.864880937967</v>
      </c>
      <c r="E16" s="105">
        <v>21225.639361736368</v>
      </c>
      <c r="F16" s="285">
        <v>20966.749763265088</v>
      </c>
      <c r="G16" s="285">
        <v>20998.516833380843</v>
      </c>
      <c r="H16" s="285">
        <v>22251.560134772739</v>
      </c>
      <c r="I16" s="285">
        <v>23877.144976513333</v>
      </c>
      <c r="J16" s="342">
        <v>23716.882629463013</v>
      </c>
      <c r="K16" s="342">
        <v>22573.820400727305</v>
      </c>
      <c r="L16" s="342">
        <v>22344.669997467925</v>
      </c>
      <c r="M16" s="342"/>
      <c r="N16" s="153"/>
      <c r="O16" s="571"/>
    </row>
    <row r="17" spans="1:15" s="1" customFormat="1" ht="15" customHeight="1">
      <c r="A17" s="219" t="s">
        <v>630</v>
      </c>
      <c r="B17" s="105">
        <v>2248.753207905615</v>
      </c>
      <c r="C17" s="105">
        <v>895.45392754936597</v>
      </c>
      <c r="D17" s="105">
        <v>787.58273630885003</v>
      </c>
      <c r="E17" s="105">
        <v>1088.5199048268739</v>
      </c>
      <c r="F17" s="285">
        <v>1033.9900802142629</v>
      </c>
      <c r="G17" s="285">
        <v>1183.2661092094081</v>
      </c>
      <c r="H17" s="285">
        <v>1707.3531455282389</v>
      </c>
      <c r="I17" s="285">
        <v>1436.492452161129</v>
      </c>
      <c r="J17" s="342">
        <v>1669.9802658864908</v>
      </c>
      <c r="K17" s="342">
        <v>1722.84701746817</v>
      </c>
      <c r="L17" s="342">
        <v>2117.3050415776438</v>
      </c>
      <c r="M17" s="342"/>
      <c r="N17" s="153"/>
      <c r="O17" s="571"/>
    </row>
    <row r="18" spans="1:15" s="1" customFormat="1" ht="15" customHeight="1">
      <c r="A18" s="219" t="s">
        <v>71</v>
      </c>
      <c r="B18" s="105">
        <v>5.6246517748849998</v>
      </c>
      <c r="C18" s="105">
        <v>4.2764136043929994</v>
      </c>
      <c r="D18" s="105">
        <v>2.9122381118149998</v>
      </c>
      <c r="E18" s="105">
        <v>1094.8646049613901</v>
      </c>
      <c r="F18" s="285">
        <v>1.9331333616599999</v>
      </c>
      <c r="G18" s="285">
        <v>1.93259334632</v>
      </c>
      <c r="H18" s="285">
        <v>2.1078009848600003</v>
      </c>
      <c r="I18" s="285">
        <v>2.6254922779040002</v>
      </c>
      <c r="J18" s="342">
        <v>199.03976857392001</v>
      </c>
      <c r="K18" s="342">
        <v>2.5078600883423996</v>
      </c>
      <c r="L18" s="342">
        <v>2.4458091164064002</v>
      </c>
      <c r="M18" s="342"/>
      <c r="N18" s="153"/>
      <c r="O18" s="571"/>
    </row>
    <row r="19" spans="1:15" s="1" customFormat="1" ht="15" customHeight="1">
      <c r="A19" s="219" t="s">
        <v>409</v>
      </c>
      <c r="B19" s="109">
        <v>15058.131279395549</v>
      </c>
      <c r="C19" s="109">
        <v>11947.56240877922</v>
      </c>
      <c r="D19" s="109">
        <v>13236.648124274099</v>
      </c>
      <c r="E19" s="109">
        <v>12349.937867532979</v>
      </c>
      <c r="F19" s="285">
        <v>14125.812838392489</v>
      </c>
      <c r="G19" s="285">
        <v>12690.882019897625</v>
      </c>
      <c r="H19" s="285">
        <v>20038.89702030487</v>
      </c>
      <c r="I19" s="285">
        <v>13955.562758051925</v>
      </c>
      <c r="J19" s="342">
        <v>13995.532298905611</v>
      </c>
      <c r="K19" s="342">
        <v>13327.090804881802</v>
      </c>
      <c r="L19" s="342">
        <v>27573.18427111884</v>
      </c>
      <c r="M19" s="342"/>
      <c r="N19" s="153"/>
      <c r="O19" s="571"/>
    </row>
    <row r="20" spans="1:15" s="1" customFormat="1" ht="18" customHeight="1">
      <c r="A20" s="220" t="s">
        <v>484</v>
      </c>
      <c r="B20" s="106">
        <v>38169.206650629603</v>
      </c>
      <c r="C20" s="106">
        <v>33312.369658246098</v>
      </c>
      <c r="D20" s="106">
        <v>34282.605683016896</v>
      </c>
      <c r="E20" s="106">
        <v>38034.886129597202</v>
      </c>
      <c r="F20" s="286">
        <v>38466.6155738659</v>
      </c>
      <c r="G20" s="286">
        <v>37041.4206658654</v>
      </c>
      <c r="H20" s="286">
        <v>46089.407251273697</v>
      </c>
      <c r="I20" s="286">
        <v>42313.335842549204</v>
      </c>
      <c r="J20" s="343">
        <v>42652.385797678398</v>
      </c>
      <c r="K20" s="343">
        <v>40358.297784555885</v>
      </c>
      <c r="L20" s="343">
        <v>54267.269660106002</v>
      </c>
      <c r="M20" s="343"/>
      <c r="N20" s="153"/>
      <c r="O20" s="571"/>
    </row>
    <row r="21" spans="1:15" s="1" customFormat="1" ht="18" customHeight="1" thickBot="1">
      <c r="A21" s="221" t="s">
        <v>485</v>
      </c>
      <c r="B21" s="386">
        <v>183794.844310666</v>
      </c>
      <c r="C21" s="386">
        <v>180574.30112482901</v>
      </c>
      <c r="D21" s="386">
        <v>181224.427940664</v>
      </c>
      <c r="E21" s="386">
        <v>193755.05192960799</v>
      </c>
      <c r="F21" s="287">
        <v>199521.68574516801</v>
      </c>
      <c r="G21" s="287">
        <v>196409.33304956899</v>
      </c>
      <c r="H21" s="287">
        <v>208487.517653029</v>
      </c>
      <c r="I21" s="287">
        <v>204909.15747577499</v>
      </c>
      <c r="J21" s="344">
        <v>205008.55495402397</v>
      </c>
      <c r="K21" s="344">
        <v>204238.34020416599</v>
      </c>
      <c r="L21" s="344">
        <v>202042.29350707997</v>
      </c>
      <c r="M21" s="344"/>
      <c r="N21" s="153"/>
      <c r="O21" s="571"/>
    </row>
    <row r="22" spans="1:15" s="1" customFormat="1" ht="15" customHeight="1" thickTop="1">
      <c r="A22" s="219"/>
      <c r="B22" s="105"/>
      <c r="C22" s="105"/>
      <c r="D22" s="105"/>
      <c r="E22" s="105"/>
      <c r="F22" s="285"/>
      <c r="G22" s="285"/>
      <c r="H22" s="285"/>
      <c r="I22" s="285"/>
      <c r="J22" s="342"/>
      <c r="K22" s="342"/>
      <c r="L22" s="342"/>
      <c r="M22" s="342"/>
      <c r="N22" s="153"/>
      <c r="O22" s="571"/>
    </row>
    <row r="23" spans="1:15" s="1" customFormat="1" ht="15" customHeight="1">
      <c r="A23" s="222"/>
      <c r="B23" s="105"/>
      <c r="C23" s="105"/>
      <c r="D23" s="105"/>
      <c r="E23" s="105"/>
      <c r="F23" s="285"/>
      <c r="G23" s="285"/>
      <c r="H23" s="285"/>
      <c r="I23" s="285"/>
      <c r="J23" s="342"/>
      <c r="K23" s="342"/>
      <c r="L23" s="342"/>
      <c r="M23" s="342"/>
      <c r="N23" s="153"/>
      <c r="O23" s="571"/>
    </row>
    <row r="24" spans="1:15" s="1" customFormat="1" ht="15" customHeight="1">
      <c r="A24" s="219" t="s">
        <v>72</v>
      </c>
      <c r="B24" s="105">
        <v>75859.079603467195</v>
      </c>
      <c r="C24" s="105">
        <v>65810.021219810296</v>
      </c>
      <c r="D24" s="105">
        <v>65753.670008286004</v>
      </c>
      <c r="E24" s="105">
        <v>63754.761426424498</v>
      </c>
      <c r="F24" s="285">
        <v>68610.687202618108</v>
      </c>
      <c r="G24" s="285">
        <v>67569.926648845503</v>
      </c>
      <c r="H24" s="285">
        <v>66048.017994128299</v>
      </c>
      <c r="I24" s="285">
        <v>58466.604509823199</v>
      </c>
      <c r="J24" s="342">
        <v>61975.4650656167</v>
      </c>
      <c r="K24" s="342">
        <v>56906.234167364302</v>
      </c>
      <c r="L24" s="342">
        <v>53104.814373175999</v>
      </c>
      <c r="M24" s="342"/>
      <c r="N24" s="153"/>
      <c r="O24" s="571"/>
    </row>
    <row r="25" spans="1:15" s="1" customFormat="1" ht="15" customHeight="1">
      <c r="A25" s="219" t="s">
        <v>144</v>
      </c>
      <c r="B25" s="109">
        <v>4052.2903980983401</v>
      </c>
      <c r="C25" s="109">
        <v>4151.16936731234</v>
      </c>
      <c r="D25" s="109">
        <v>4118.7358493495694</v>
      </c>
      <c r="E25" s="109">
        <v>4749.8526110106895</v>
      </c>
      <c r="F25" s="285">
        <v>5037.0289037819903</v>
      </c>
      <c r="G25" s="285">
        <v>4590.3444373092098</v>
      </c>
      <c r="H25" s="285">
        <v>4273.0990168788403</v>
      </c>
      <c r="I25" s="285">
        <v>4659.6710381297598</v>
      </c>
      <c r="J25" s="342">
        <v>4635.6092442023</v>
      </c>
      <c r="K25" s="342">
        <v>4545.3966551766998</v>
      </c>
      <c r="L25" s="342">
        <v>4169.3191910368696</v>
      </c>
      <c r="M25" s="342"/>
      <c r="N25" s="153"/>
      <c r="O25" s="571"/>
    </row>
    <row r="26" spans="1:15" s="1" customFormat="1" ht="18" customHeight="1">
      <c r="A26" s="220" t="s">
        <v>500</v>
      </c>
      <c r="B26" s="107">
        <v>79911.370001565534</v>
      </c>
      <c r="C26" s="107">
        <v>69961.190587122634</v>
      </c>
      <c r="D26" s="107">
        <v>69872.405857635575</v>
      </c>
      <c r="E26" s="107">
        <v>68504.614037435182</v>
      </c>
      <c r="F26" s="286">
        <v>73647.716106400097</v>
      </c>
      <c r="G26" s="286">
        <v>72160.271086154709</v>
      </c>
      <c r="H26" s="286">
        <v>70321.11701100714</v>
      </c>
      <c r="I26" s="286">
        <v>63126.275547952959</v>
      </c>
      <c r="J26" s="343">
        <v>66611.074309819</v>
      </c>
      <c r="K26" s="343">
        <v>61451.630822541003</v>
      </c>
      <c r="L26" s="343">
        <v>57274.133564212869</v>
      </c>
      <c r="M26" s="343"/>
      <c r="N26" s="153"/>
      <c r="O26" s="571"/>
    </row>
    <row r="27" spans="1:15" s="1" customFormat="1" ht="15" customHeight="1">
      <c r="A27" s="223"/>
      <c r="B27" s="105"/>
      <c r="C27" s="105"/>
      <c r="D27" s="105"/>
      <c r="E27" s="105"/>
      <c r="F27" s="285"/>
      <c r="G27" s="285"/>
      <c r="H27" s="285"/>
      <c r="I27" s="285"/>
      <c r="J27" s="342"/>
      <c r="K27" s="342"/>
      <c r="L27" s="342"/>
      <c r="M27" s="342"/>
      <c r="N27" s="153"/>
      <c r="O27" s="571"/>
    </row>
    <row r="28" spans="1:15" s="1" customFormat="1" ht="15" customHeight="1">
      <c r="A28" s="219" t="s">
        <v>37</v>
      </c>
      <c r="B28" s="105">
        <v>51425.315219329903</v>
      </c>
      <c r="C28" s="105">
        <v>53293.408560534801</v>
      </c>
      <c r="D28" s="105">
        <v>52857.625466295001</v>
      </c>
      <c r="E28" s="105">
        <v>61112.940126558504</v>
      </c>
      <c r="F28" s="285">
        <v>59345.146017500396</v>
      </c>
      <c r="G28" s="285">
        <v>57555.259269820504</v>
      </c>
      <c r="H28" s="285">
        <v>64049.0664431611</v>
      </c>
      <c r="I28" s="285">
        <v>63802.345938115999</v>
      </c>
      <c r="J28" s="342">
        <v>66371.780889044399</v>
      </c>
      <c r="K28" s="342">
        <v>57913.178680117402</v>
      </c>
      <c r="L28" s="342">
        <v>58508.496286052497</v>
      </c>
      <c r="M28" s="342"/>
      <c r="N28" s="153"/>
      <c r="O28" s="571"/>
    </row>
    <row r="29" spans="1:15" s="1" customFormat="1" ht="15" customHeight="1">
      <c r="A29" s="219" t="s">
        <v>38</v>
      </c>
      <c r="B29" s="105">
        <v>653.10254508230105</v>
      </c>
      <c r="C29" s="105">
        <v>649.772712322948</v>
      </c>
      <c r="D29" s="105">
        <v>1030.1693922795901</v>
      </c>
      <c r="E29" s="105">
        <v>1987.6398778652101</v>
      </c>
      <c r="F29" s="285">
        <v>3231.77031813035</v>
      </c>
      <c r="G29" s="285">
        <v>2798.5580253590897</v>
      </c>
      <c r="H29" s="285">
        <v>3498.06959863354</v>
      </c>
      <c r="I29" s="285">
        <v>4010.4571510299902</v>
      </c>
      <c r="J29" s="342">
        <v>3277.7997029834301</v>
      </c>
      <c r="K29" s="342">
        <v>3218.0836336505399</v>
      </c>
      <c r="L29" s="342">
        <v>2866.1614064472701</v>
      </c>
      <c r="M29" s="342"/>
      <c r="N29" s="153"/>
      <c r="O29" s="571"/>
    </row>
    <row r="30" spans="1:15" s="1" customFormat="1" ht="15" customHeight="1">
      <c r="A30" s="219" t="s">
        <v>506</v>
      </c>
      <c r="B30" s="105">
        <v>2103.50092254734</v>
      </c>
      <c r="C30" s="105">
        <v>1986.61341675585</v>
      </c>
      <c r="D30" s="105">
        <v>2046.1507198305599</v>
      </c>
      <c r="E30" s="105">
        <v>2569.1035532030401</v>
      </c>
      <c r="F30" s="285">
        <v>2574.6145870749401</v>
      </c>
      <c r="G30" s="285">
        <v>2449.20728183765</v>
      </c>
      <c r="H30" s="285">
        <v>2521.8334679485301</v>
      </c>
      <c r="I30" s="285">
        <v>3023.3224361734601</v>
      </c>
      <c r="J30" s="342">
        <v>3024.26240577526</v>
      </c>
      <c r="K30" s="342">
        <v>2883.91537176466</v>
      </c>
      <c r="L30" s="342">
        <v>2783.6052857159398</v>
      </c>
      <c r="M30" s="342"/>
      <c r="N30" s="153"/>
      <c r="O30" s="571"/>
    </row>
    <row r="31" spans="1:15" s="1" customFormat="1" ht="15" customHeight="1">
      <c r="A31" s="219" t="s">
        <v>505</v>
      </c>
      <c r="B31" s="105">
        <v>3129.9312830303797</v>
      </c>
      <c r="C31" s="105">
        <v>3277.7888014177397</v>
      </c>
      <c r="D31" s="105">
        <v>3872.6965518456805</v>
      </c>
      <c r="E31" s="105">
        <v>3568.0450507547303</v>
      </c>
      <c r="F31" s="285">
        <v>3032.7763777136502</v>
      </c>
      <c r="G31" s="285">
        <v>2518.5272770749402</v>
      </c>
      <c r="H31" s="285">
        <v>3268.6175512561799</v>
      </c>
      <c r="I31" s="285">
        <v>2423.6974617992</v>
      </c>
      <c r="J31" s="342">
        <v>2931.8477383097902</v>
      </c>
      <c r="K31" s="342">
        <v>3022.5786238909604</v>
      </c>
      <c r="L31" s="342">
        <v>3063.9462896782898</v>
      </c>
      <c r="M31" s="342"/>
      <c r="N31" s="153"/>
      <c r="O31" s="571"/>
    </row>
    <row r="32" spans="1:15" s="1" customFormat="1" ht="15" customHeight="1">
      <c r="A32" s="219" t="s">
        <v>553</v>
      </c>
      <c r="B32" s="109">
        <v>2786.8985365909757</v>
      </c>
      <c r="C32" s="109">
        <v>2779.7017780336682</v>
      </c>
      <c r="D32" s="109">
        <v>2726.411448717372</v>
      </c>
      <c r="E32" s="109">
        <v>3407.9769684588246</v>
      </c>
      <c r="F32" s="285">
        <v>3345.1920483425638</v>
      </c>
      <c r="G32" s="285">
        <v>3346.3254895876235</v>
      </c>
      <c r="H32" s="285">
        <v>3481.4541441835609</v>
      </c>
      <c r="I32" s="285">
        <v>3545.2490456605592</v>
      </c>
      <c r="J32" s="342">
        <v>3500.1349981536187</v>
      </c>
      <c r="K32" s="342">
        <v>3521.6597695376258</v>
      </c>
      <c r="L32" s="342">
        <v>3482.3576331372024</v>
      </c>
      <c r="M32" s="342"/>
      <c r="N32" s="153"/>
      <c r="O32" s="571"/>
    </row>
    <row r="33" spans="1:15" s="1" customFormat="1" ht="18" customHeight="1">
      <c r="A33" s="220" t="s">
        <v>387</v>
      </c>
      <c r="B33" s="106">
        <v>60098.748506580901</v>
      </c>
      <c r="C33" s="106">
        <v>61987.285269065003</v>
      </c>
      <c r="D33" s="106">
        <v>62533.053578968204</v>
      </c>
      <c r="E33" s="106">
        <v>72645.705576840308</v>
      </c>
      <c r="F33" s="286">
        <v>71529.499348761907</v>
      </c>
      <c r="G33" s="286">
        <v>68667.877343679807</v>
      </c>
      <c r="H33" s="286">
        <v>76819.041205182904</v>
      </c>
      <c r="I33" s="286">
        <v>76805.072032779208</v>
      </c>
      <c r="J33" s="343">
        <v>79105.825734266502</v>
      </c>
      <c r="K33" s="343">
        <v>70559.416078961192</v>
      </c>
      <c r="L33" s="343">
        <v>70704.566901031198</v>
      </c>
      <c r="M33" s="343"/>
      <c r="N33" s="153"/>
      <c r="O33" s="571"/>
    </row>
    <row r="34" spans="1:15" s="1" customFormat="1" ht="15" customHeight="1">
      <c r="A34" s="222"/>
      <c r="B34" s="105"/>
      <c r="C34" s="105"/>
      <c r="D34" s="105"/>
      <c r="E34" s="105"/>
      <c r="F34" s="285"/>
      <c r="G34" s="285"/>
      <c r="H34" s="285"/>
      <c r="I34" s="285"/>
      <c r="J34" s="342"/>
      <c r="K34" s="342"/>
      <c r="L34" s="342"/>
      <c r="M34" s="342"/>
      <c r="N34" s="153"/>
      <c r="O34" s="571"/>
    </row>
    <row r="35" spans="1:15" s="1" customFormat="1" ht="15" customHeight="1">
      <c r="A35" s="219" t="s">
        <v>36</v>
      </c>
      <c r="B35" s="105">
        <v>7432.8552826028699</v>
      </c>
      <c r="C35" s="105">
        <v>10293.136719891701</v>
      </c>
      <c r="D35" s="105">
        <v>9365.50631193156</v>
      </c>
      <c r="E35" s="105">
        <v>7474.38350615945</v>
      </c>
      <c r="F35" s="285">
        <v>7778.96457045848</v>
      </c>
      <c r="G35" s="285">
        <v>10055.1511322306</v>
      </c>
      <c r="H35" s="285">
        <v>11885.150842895599</v>
      </c>
      <c r="I35" s="285">
        <v>12625.782166619101</v>
      </c>
      <c r="J35" s="342">
        <v>8643.6439810057291</v>
      </c>
      <c r="K35" s="342">
        <v>23178.269765560399</v>
      </c>
      <c r="L35" s="342">
        <v>25741.511544380799</v>
      </c>
      <c r="M35" s="342"/>
      <c r="N35" s="153"/>
      <c r="O35" s="571"/>
    </row>
    <row r="36" spans="1:15" s="1" customFormat="1" ht="15" customHeight="1">
      <c r="A36" s="219" t="s">
        <v>554</v>
      </c>
      <c r="B36" s="105">
        <v>31318.8726821296</v>
      </c>
      <c r="C36" s="105">
        <v>31603.522141491201</v>
      </c>
      <c r="D36" s="105">
        <v>33255.102468487901</v>
      </c>
      <c r="E36" s="105">
        <v>38314.802981867404</v>
      </c>
      <c r="F36" s="285">
        <v>39439.903826720903</v>
      </c>
      <c r="G36" s="285">
        <v>38610.886184925199</v>
      </c>
      <c r="H36" s="285">
        <v>41540.553727476996</v>
      </c>
      <c r="I36" s="285">
        <v>44029.747386023402</v>
      </c>
      <c r="J36" s="342">
        <v>43060.573883022502</v>
      </c>
      <c r="K36" s="342">
        <v>41504.494114950801</v>
      </c>
      <c r="L36" s="342">
        <v>39939.008291042999</v>
      </c>
      <c r="M36" s="342"/>
      <c r="N36" s="153"/>
      <c r="O36" s="571"/>
    </row>
    <row r="37" spans="1:15" s="1" customFormat="1" ht="15" customHeight="1">
      <c r="A37" s="219" t="s">
        <v>604</v>
      </c>
      <c r="B37" s="105">
        <v>2500.9784740332398</v>
      </c>
      <c r="C37" s="105">
        <v>2420.0703815498</v>
      </c>
      <c r="D37" s="105">
        <v>3124.7898304586402</v>
      </c>
      <c r="E37" s="105">
        <v>2684.34222039728</v>
      </c>
      <c r="F37" s="285">
        <v>2546.25556696887</v>
      </c>
      <c r="G37" s="285">
        <v>2805.3665031043702</v>
      </c>
      <c r="H37" s="285">
        <v>3454.39489814835</v>
      </c>
      <c r="I37" s="285">
        <v>3391.7766738878104</v>
      </c>
      <c r="J37" s="342">
        <v>3484.2927303794199</v>
      </c>
      <c r="K37" s="342">
        <v>2992.2703228423902</v>
      </c>
      <c r="L37" s="342">
        <v>3371.2964044045502</v>
      </c>
      <c r="M37" s="342"/>
      <c r="N37" s="153"/>
      <c r="O37" s="571"/>
    </row>
    <row r="38" spans="1:15" s="1" customFormat="1" ht="15" customHeight="1">
      <c r="A38" s="219" t="s">
        <v>605</v>
      </c>
      <c r="B38" s="105">
        <v>1309.49731944021</v>
      </c>
      <c r="C38" s="105">
        <v>3046.9955253276503</v>
      </c>
      <c r="D38" s="105">
        <v>1708.23582111779</v>
      </c>
      <c r="E38" s="105">
        <v>2419.8466763930001</v>
      </c>
      <c r="F38" s="285">
        <v>3079.0889518691201</v>
      </c>
      <c r="G38" s="285">
        <v>2904.2884926833399</v>
      </c>
      <c r="H38" s="285">
        <v>2990.1012934822302</v>
      </c>
      <c r="I38" s="285">
        <v>3339.2877501992202</v>
      </c>
      <c r="J38" s="342">
        <v>2622.58273764556</v>
      </c>
      <c r="K38" s="342">
        <v>3185.79634690897</v>
      </c>
      <c r="L38" s="342">
        <v>3631.64190430091</v>
      </c>
      <c r="M38" s="342"/>
      <c r="N38" s="153"/>
      <c r="O38" s="571"/>
    </row>
    <row r="39" spans="1:15" s="1" customFormat="1" ht="15" customHeight="1">
      <c r="A39" s="219" t="s">
        <v>553</v>
      </c>
      <c r="B39" s="109">
        <v>1222.5194927874602</v>
      </c>
      <c r="C39" s="109">
        <v>1262.06932871513</v>
      </c>
      <c r="D39" s="109">
        <v>1365.30467909092</v>
      </c>
      <c r="E39" s="109">
        <v>1711.3571516874799</v>
      </c>
      <c r="F39" s="285">
        <v>1500.2633048215</v>
      </c>
      <c r="G39" s="285">
        <v>1205.4991426770898</v>
      </c>
      <c r="H39" s="285">
        <v>1477.1596589349301</v>
      </c>
      <c r="I39" s="285">
        <v>1591.2209384576199</v>
      </c>
      <c r="J39" s="342">
        <v>1480.5857290189599</v>
      </c>
      <c r="K39" s="342">
        <v>1366.5023788047199</v>
      </c>
      <c r="L39" s="342">
        <v>1380.1640100275599</v>
      </c>
      <c r="M39" s="342"/>
      <c r="N39" s="153"/>
      <c r="O39" s="571"/>
    </row>
    <row r="40" spans="1:15" s="1" customFormat="1" ht="18" customHeight="1">
      <c r="A40" s="220" t="s">
        <v>388</v>
      </c>
      <c r="B40" s="106">
        <v>43784.723250993404</v>
      </c>
      <c r="C40" s="106">
        <v>48625.7940969755</v>
      </c>
      <c r="D40" s="106">
        <v>48818.939111086802</v>
      </c>
      <c r="E40" s="106">
        <v>52604.732536504598</v>
      </c>
      <c r="F40" s="286">
        <v>54344.4762208389</v>
      </c>
      <c r="G40" s="286">
        <v>55581.191455620698</v>
      </c>
      <c r="H40" s="286">
        <v>61347.360420938101</v>
      </c>
      <c r="I40" s="286">
        <v>64977.814915187104</v>
      </c>
      <c r="J40" s="343">
        <v>59291.6790610721</v>
      </c>
      <c r="K40" s="343">
        <v>72227.332929067314</v>
      </c>
      <c r="L40" s="343">
        <v>74063.62215415691</v>
      </c>
      <c r="M40" s="343"/>
      <c r="N40" s="153"/>
      <c r="O40" s="571"/>
    </row>
    <row r="41" spans="1:15" s="1" customFormat="1" ht="18" customHeight="1" thickBot="1">
      <c r="A41" s="221" t="s">
        <v>50</v>
      </c>
      <c r="B41" s="386">
        <v>183794.84175913985</v>
      </c>
      <c r="C41" s="386">
        <v>180574.26995316314</v>
      </c>
      <c r="D41" s="386">
        <v>181224.39854769057</v>
      </c>
      <c r="E41" s="386">
        <v>193755.05215078007</v>
      </c>
      <c r="F41" s="287">
        <v>199521.69167600089</v>
      </c>
      <c r="G41" s="287">
        <v>196409.33988545521</v>
      </c>
      <c r="H41" s="287">
        <v>208487.51863712817</v>
      </c>
      <c r="I41" s="287">
        <v>204909.16249591927</v>
      </c>
      <c r="J41" s="344">
        <v>205008.57910515761</v>
      </c>
      <c r="K41" s="344">
        <v>204238.37983056949</v>
      </c>
      <c r="L41" s="344">
        <v>202042.32261940098</v>
      </c>
      <c r="M41" s="344"/>
      <c r="N41" s="153"/>
      <c r="O41" s="571"/>
    </row>
    <row r="42" spans="1:15" s="1" customFormat="1" ht="15" customHeight="1" thickTop="1">
      <c r="A42" s="219"/>
      <c r="B42" s="105"/>
      <c r="C42" s="105"/>
      <c r="D42" s="105"/>
      <c r="E42" s="105"/>
      <c r="F42" s="285"/>
      <c r="G42" s="285"/>
      <c r="H42" s="285"/>
      <c r="I42" s="285"/>
      <c r="J42" s="342"/>
      <c r="K42" s="342"/>
      <c r="L42" s="342"/>
      <c r="M42" s="342"/>
      <c r="N42" s="153"/>
      <c r="O42" s="571"/>
    </row>
    <row r="43" spans="1:15" s="1" customFormat="1" ht="15" customHeight="1">
      <c r="A43" s="219" t="s">
        <v>73</v>
      </c>
      <c r="B43" s="105">
        <v>43.478570582676134</v>
      </c>
      <c r="C43" s="105">
        <v>38.743720578390807</v>
      </c>
      <c r="D43" s="105">
        <v>38.555738861645679</v>
      </c>
      <c r="E43" s="105">
        <v>35.35629821106545</v>
      </c>
      <c r="F43" s="288">
        <v>36.912134960240358</v>
      </c>
      <c r="G43" s="288">
        <v>36.739735049381132</v>
      </c>
      <c r="H43" s="288">
        <v>33.729173559497731</v>
      </c>
      <c r="I43" s="288">
        <v>30.806956008719283</v>
      </c>
      <c r="J43" s="345">
        <v>32.491847219550429</v>
      </c>
      <c r="K43" s="345">
        <v>30.0881895329955</v>
      </c>
      <c r="L43" s="345">
        <v>28.347592138951761</v>
      </c>
      <c r="M43" s="345"/>
      <c r="N43" s="153"/>
      <c r="O43" s="571"/>
    </row>
    <row r="44" spans="1:15" s="1" customFormat="1" ht="15" customHeight="1">
      <c r="A44" s="148"/>
      <c r="B44" s="105"/>
      <c r="C44" s="105"/>
      <c r="D44" s="105"/>
      <c r="E44" s="105"/>
      <c r="F44" s="288"/>
      <c r="G44" s="288"/>
      <c r="H44" s="288"/>
      <c r="I44" s="288"/>
      <c r="J44" s="345"/>
      <c r="K44" s="345"/>
      <c r="L44" s="345"/>
      <c r="M44" s="345"/>
      <c r="N44" s="153"/>
      <c r="O44" s="571"/>
    </row>
    <row r="45" spans="1:15" s="1" customFormat="1" ht="15" customHeight="1">
      <c r="A45" s="219" t="s">
        <v>56</v>
      </c>
      <c r="B45" s="105">
        <v>37236.51400841352</v>
      </c>
      <c r="C45" s="105">
        <v>44387.363070779902</v>
      </c>
      <c r="D45" s="105">
        <v>40378.231194513733</v>
      </c>
      <c r="E45" s="105">
        <v>46829.781175611148</v>
      </c>
      <c r="F45" s="285">
        <v>43878.055725223465</v>
      </c>
      <c r="G45" s="285">
        <v>47113.036184540688</v>
      </c>
      <c r="H45" s="285">
        <v>46645.494368867541</v>
      </c>
      <c r="I45" s="285">
        <v>54105.766197837293</v>
      </c>
      <c r="J45" s="342">
        <v>53563.806216627425</v>
      </c>
      <c r="K45" s="342">
        <v>58968.866701125837</v>
      </c>
      <c r="L45" s="342">
        <v>47899.629479822797</v>
      </c>
      <c r="M45" s="342"/>
      <c r="N45" s="153"/>
      <c r="O45" s="571"/>
    </row>
    <row r="46" spans="1:15" ht="15" customHeight="1">
      <c r="A46" s="12"/>
      <c r="B46" s="109"/>
      <c r="C46" s="109"/>
      <c r="D46" s="109"/>
      <c r="E46" s="109"/>
      <c r="F46" s="289"/>
      <c r="G46" s="289"/>
      <c r="H46" s="289"/>
      <c r="I46" s="289"/>
      <c r="J46" s="346"/>
      <c r="K46" s="346"/>
      <c r="L46" s="346"/>
      <c r="M46" s="346"/>
      <c r="N46" s="153"/>
      <c r="O46" s="571"/>
    </row>
    <row r="48" spans="1:15" ht="24" customHeight="1">
      <c r="A48" s="32"/>
      <c r="B48" s="238"/>
      <c r="C48" s="238"/>
      <c r="D48" s="238"/>
      <c r="E48" s="238"/>
      <c r="H48" s="298"/>
      <c r="I48" s="298"/>
      <c r="J48" s="298"/>
      <c r="K48" s="298"/>
      <c r="L48" s="298"/>
      <c r="M48" s="298"/>
    </row>
    <row r="49" ht="20.25" customHeight="1"/>
  </sheetData>
  <mergeCells count="3">
    <mergeCell ref="F4:I4"/>
    <mergeCell ref="B4:E4"/>
    <mergeCell ref="J4:M4"/>
  </mergeCells>
  <phoneticPr fontId="16" type="noConversion"/>
  <pageMargins left="0.78740157499999996" right="0.78740157499999996" top="0.74" bottom="0.57999999999999996" header="0.5" footer="0.64"/>
  <pageSetup paperSize="9" scale="5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0" enableFormatConditionsCalculation="0">
    <tabColor indexed="25"/>
    <pageSetUpPr fitToPage="1"/>
  </sheetPr>
  <dimension ref="A1:O33"/>
  <sheetViews>
    <sheetView showGridLines="0" view="pageBreakPreview" zoomScale="90" zoomScaleNormal="100" zoomScaleSheetLayoutView="90" workbookViewId="0">
      <selection activeCell="L6" sqref="L6"/>
    </sheetView>
  </sheetViews>
  <sheetFormatPr defaultColWidth="9.140625" defaultRowHeight="12.75"/>
  <cols>
    <col min="1" max="1" width="76.7109375" customWidth="1"/>
    <col min="2" max="13" width="13.7109375" customWidth="1"/>
  </cols>
  <sheetData>
    <row r="1" spans="1:15" ht="15" customHeight="1"/>
    <row r="2" spans="1:15" ht="15" customHeight="1"/>
    <row r="3" spans="1:15" ht="15" customHeight="1" thickBot="1">
      <c r="A3" s="92" t="s">
        <v>512</v>
      </c>
      <c r="B3" s="93"/>
      <c r="C3" s="93"/>
      <c r="D3" s="93"/>
      <c r="E3" s="93"/>
      <c r="F3" s="93"/>
      <c r="G3" s="93"/>
      <c r="H3" s="93"/>
      <c r="I3" s="93"/>
      <c r="J3" s="93"/>
      <c r="K3" s="93"/>
      <c r="L3" s="93"/>
      <c r="M3" s="93"/>
    </row>
    <row r="4" spans="1:15" ht="15" customHeight="1" thickBot="1">
      <c r="A4" s="123" t="s">
        <v>33</v>
      </c>
      <c r="B4" s="576">
        <v>2014</v>
      </c>
      <c r="C4" s="577"/>
      <c r="D4" s="577"/>
      <c r="E4" s="578"/>
      <c r="F4" s="579">
        <v>2015</v>
      </c>
      <c r="G4" s="580"/>
      <c r="H4" s="580"/>
      <c r="I4" s="581"/>
      <c r="J4" s="582">
        <v>2016</v>
      </c>
      <c r="K4" s="583"/>
      <c r="L4" s="583"/>
      <c r="M4" s="583"/>
    </row>
    <row r="5" spans="1:15" ht="15" customHeight="1" thickBot="1">
      <c r="A5" s="124" t="s">
        <v>527</v>
      </c>
      <c r="B5" s="290" t="s">
        <v>31</v>
      </c>
      <c r="C5" s="290" t="s">
        <v>30</v>
      </c>
      <c r="D5" s="290" t="s">
        <v>29</v>
      </c>
      <c r="E5" s="293" t="s">
        <v>28</v>
      </c>
      <c r="F5" s="311" t="s">
        <v>31</v>
      </c>
      <c r="G5" s="311" t="s">
        <v>30</v>
      </c>
      <c r="H5" s="311" t="s">
        <v>29</v>
      </c>
      <c r="I5" s="340" t="s">
        <v>28</v>
      </c>
      <c r="J5" s="397" t="s">
        <v>31</v>
      </c>
      <c r="K5" s="397" t="s">
        <v>30</v>
      </c>
      <c r="L5" s="398" t="s">
        <v>29</v>
      </c>
      <c r="M5" s="398" t="s">
        <v>28</v>
      </c>
    </row>
    <row r="6" spans="1:15" ht="15" customHeight="1">
      <c r="A6" s="125" t="s">
        <v>643</v>
      </c>
      <c r="B6" s="105">
        <v>6244.2435433728306</v>
      </c>
      <c r="C6" s="105">
        <v>11087.9479542761</v>
      </c>
      <c r="D6" s="105">
        <v>16493.739898387899</v>
      </c>
      <c r="E6" s="105">
        <v>19356.394733360965</v>
      </c>
      <c r="F6" s="177">
        <v>6666.9585648893408</v>
      </c>
      <c r="G6" s="177">
        <v>12716.609479827101</v>
      </c>
      <c r="H6" s="177">
        <v>13418.225437022102</v>
      </c>
      <c r="I6" s="177">
        <v>13020.379547247199</v>
      </c>
      <c r="J6" s="338">
        <v>6687.5438265433604</v>
      </c>
      <c r="K6" s="338">
        <v>10260.9855660747</v>
      </c>
      <c r="L6" s="338">
        <v>7908.2289587055593</v>
      </c>
      <c r="M6" s="338"/>
      <c r="N6" s="153"/>
      <c r="O6" s="229"/>
    </row>
    <row r="7" spans="1:15" ht="15" customHeight="1">
      <c r="A7" s="104" t="s">
        <v>34</v>
      </c>
      <c r="B7" s="105">
        <v>-703.41178089365098</v>
      </c>
      <c r="C7" s="105">
        <v>-1899.8256777441002</v>
      </c>
      <c r="D7" s="105">
        <v>-2830.4834434188601</v>
      </c>
      <c r="E7" s="105">
        <v>-4509.1504711244097</v>
      </c>
      <c r="F7" s="169">
        <v>-1511.73937683197</v>
      </c>
      <c r="G7" s="169">
        <v>-2476.3498018739897</v>
      </c>
      <c r="H7" s="169">
        <v>-3657.8547137854698</v>
      </c>
      <c r="I7" s="169">
        <v>-5141.2387110304498</v>
      </c>
      <c r="J7" s="321">
        <v>-1269.3295672920801</v>
      </c>
      <c r="K7" s="321">
        <v>-3212.6123993562601</v>
      </c>
      <c r="L7" s="321">
        <v>-4293.6391193697</v>
      </c>
      <c r="M7" s="321"/>
      <c r="N7" s="153"/>
      <c r="O7" s="229"/>
    </row>
    <row r="8" spans="1:15" ht="15" customHeight="1">
      <c r="A8" s="104" t="s">
        <v>575</v>
      </c>
      <c r="B8" s="105">
        <v>-2904.4205667860479</v>
      </c>
      <c r="C8" s="105">
        <v>-2987.2665088847853</v>
      </c>
      <c r="D8" s="105">
        <v>-2965.5798379753942</v>
      </c>
      <c r="E8" s="105">
        <v>-2996.4865398908901</v>
      </c>
      <c r="F8" s="169">
        <v>-183.09390667553598</v>
      </c>
      <c r="G8" s="169">
        <v>-187.81133313364393</v>
      </c>
      <c r="H8" s="169">
        <v>-16.533427771921513</v>
      </c>
      <c r="I8" s="169">
        <v>81.31587198689796</v>
      </c>
      <c r="J8" s="321">
        <v>-35.003888227588895</v>
      </c>
      <c r="K8" s="321">
        <v>86.141274246829795</v>
      </c>
      <c r="L8" s="321">
        <v>426.59063594404233</v>
      </c>
      <c r="M8" s="321"/>
      <c r="N8" s="153"/>
      <c r="O8" s="229"/>
    </row>
    <row r="9" spans="1:15" ht="15" customHeight="1">
      <c r="A9" s="104" t="s">
        <v>39</v>
      </c>
      <c r="B9" s="105">
        <v>3726.6660297049498</v>
      </c>
      <c r="C9" s="105">
        <v>7462.3019335079407</v>
      </c>
      <c r="D9" s="105">
        <v>11351.406471771199</v>
      </c>
      <c r="E9" s="105">
        <v>15563.68765516631</v>
      </c>
      <c r="F9" s="169">
        <v>4193.1128975401798</v>
      </c>
      <c r="G9" s="169">
        <v>8536.1672179175384</v>
      </c>
      <c r="H9" s="169">
        <v>13379.019985520599</v>
      </c>
      <c r="I9" s="169">
        <v>20564.5607240762</v>
      </c>
      <c r="J9" s="321">
        <v>7473.6935231262505</v>
      </c>
      <c r="K9" s="321">
        <v>12536.489917471599</v>
      </c>
      <c r="L9" s="321">
        <v>21752.411189866598</v>
      </c>
      <c r="M9" s="321"/>
      <c r="N9" s="153"/>
      <c r="O9" s="229"/>
    </row>
    <row r="10" spans="1:15" ht="15" customHeight="1">
      <c r="A10" s="104" t="s">
        <v>617</v>
      </c>
      <c r="B10" s="105">
        <v>1836.832629578485</v>
      </c>
      <c r="C10" s="105">
        <v>2398.76719715234</v>
      </c>
      <c r="D10" s="105">
        <v>2689.4313468693204</v>
      </c>
      <c r="E10" s="105">
        <v>3859.0991901384477</v>
      </c>
      <c r="F10" s="169">
        <v>-652.77819414433895</v>
      </c>
      <c r="G10" s="169">
        <v>-1104.4459692195062</v>
      </c>
      <c r="H10" s="169">
        <v>3984.5642970227241</v>
      </c>
      <c r="I10" s="169">
        <v>6819.3071454153678</v>
      </c>
      <c r="J10" s="321">
        <v>-4174.7821465606303</v>
      </c>
      <c r="K10" s="321">
        <v>-2025.3068705109599</v>
      </c>
      <c r="L10" s="321">
        <v>3234.5138981074701</v>
      </c>
      <c r="M10" s="321"/>
      <c r="N10" s="153"/>
      <c r="O10" s="229"/>
    </row>
    <row r="11" spans="1:15" ht="15" customHeight="1">
      <c r="A11" s="104" t="s">
        <v>383</v>
      </c>
      <c r="B11" s="105">
        <v>0</v>
      </c>
      <c r="C11" s="105">
        <v>64.842131199999997</v>
      </c>
      <c r="D11" s="105">
        <v>72.88981600000001</v>
      </c>
      <c r="E11" s="105">
        <v>218.9070504</v>
      </c>
      <c r="F11" s="169">
        <v>0</v>
      </c>
      <c r="G11" s="169">
        <v>13.5554784</v>
      </c>
      <c r="H11" s="169">
        <v>13.553068400000001</v>
      </c>
      <c r="I11" s="169">
        <v>188.89290320000001</v>
      </c>
      <c r="J11" s="321">
        <v>0</v>
      </c>
      <c r="K11" s="321">
        <v>8.3014639179999996</v>
      </c>
      <c r="L11" s="321">
        <v>8.2986365920000011</v>
      </c>
      <c r="M11" s="321"/>
      <c r="N11" s="153"/>
      <c r="O11" s="229"/>
    </row>
    <row r="12" spans="1:15" ht="15" customHeight="1">
      <c r="A12" s="104" t="s">
        <v>606</v>
      </c>
      <c r="B12" s="105">
        <v>-136.880775419565</v>
      </c>
      <c r="C12" s="105">
        <v>-161.86605490907201</v>
      </c>
      <c r="D12" s="105">
        <v>-67.088896430371008</v>
      </c>
      <c r="E12" s="105">
        <v>229.21182513579603</v>
      </c>
      <c r="F12" s="169">
        <v>224.38653848288598</v>
      </c>
      <c r="G12" s="169">
        <v>86.071998748381972</v>
      </c>
      <c r="H12" s="169">
        <v>298.58505002102703</v>
      </c>
      <c r="I12" s="169">
        <v>667.48195516542796</v>
      </c>
      <c r="J12" s="321">
        <v>646.11553418980282</v>
      </c>
      <c r="K12" s="321">
        <v>-18.360937709457765</v>
      </c>
      <c r="L12" s="321">
        <v>-1028.3674490516107</v>
      </c>
      <c r="M12" s="321"/>
      <c r="N12" s="153"/>
      <c r="O12" s="229"/>
    </row>
    <row r="13" spans="1:15" ht="15" customHeight="1">
      <c r="A13" s="104" t="s">
        <v>642</v>
      </c>
      <c r="B13" s="109">
        <v>879.31070500702424</v>
      </c>
      <c r="C13" s="109">
        <v>1157.6701033321197</v>
      </c>
      <c r="D13" s="109">
        <v>3071.5686804205939</v>
      </c>
      <c r="E13" s="109">
        <v>2129.7713542559618</v>
      </c>
      <c r="F13" s="169">
        <v>-342.65604441988734</v>
      </c>
      <c r="G13" s="169">
        <v>595.30445561332681</v>
      </c>
      <c r="H13" s="169">
        <v>1743.6831586394608</v>
      </c>
      <c r="I13" s="169">
        <v>906.05396236521847</v>
      </c>
      <c r="J13" s="321">
        <v>1887.847009445112</v>
      </c>
      <c r="K13" s="321">
        <v>2460.8302518129235</v>
      </c>
      <c r="L13" s="321">
        <v>2580.399554970315</v>
      </c>
      <c r="M13" s="321"/>
      <c r="N13" s="153"/>
      <c r="O13" s="229"/>
    </row>
    <row r="14" spans="1:15" ht="18" customHeight="1">
      <c r="A14" s="101" t="s">
        <v>130</v>
      </c>
      <c r="B14" s="106">
        <v>8942.6281895640241</v>
      </c>
      <c r="C14" s="106">
        <v>17122.571077930541</v>
      </c>
      <c r="D14" s="106">
        <v>27815.884035624389</v>
      </c>
      <c r="E14" s="106">
        <v>33851.434797442183</v>
      </c>
      <c r="F14" s="171">
        <v>8394.4753648406731</v>
      </c>
      <c r="G14" s="171">
        <v>18179.101526279199</v>
      </c>
      <c r="H14" s="171">
        <v>29163.242855068522</v>
      </c>
      <c r="I14" s="171">
        <v>37106.753398425863</v>
      </c>
      <c r="J14" s="334">
        <v>11216.396809024225</v>
      </c>
      <c r="K14" s="334">
        <v>20096.468265947373</v>
      </c>
      <c r="L14" s="334">
        <v>30588.436305764677</v>
      </c>
      <c r="M14" s="334"/>
      <c r="N14" s="153"/>
      <c r="O14" s="229"/>
    </row>
    <row r="15" spans="1:15" ht="15" customHeight="1">
      <c r="A15" s="111"/>
      <c r="B15" s="105"/>
      <c r="C15" s="105"/>
      <c r="D15" s="105"/>
      <c r="E15" s="105"/>
      <c r="F15" s="169"/>
      <c r="G15" s="169"/>
      <c r="H15" s="169"/>
      <c r="I15" s="169"/>
      <c r="J15" s="321"/>
      <c r="K15" s="321"/>
      <c r="L15" s="321"/>
      <c r="M15" s="321"/>
      <c r="N15" s="153"/>
      <c r="O15" s="229"/>
    </row>
    <row r="16" spans="1:15" ht="15" customHeight="1">
      <c r="A16" s="104" t="s">
        <v>35</v>
      </c>
      <c r="B16" s="105">
        <v>-5937.8544566267792</v>
      </c>
      <c r="C16" s="105">
        <v>-10152.915478444402</v>
      </c>
      <c r="D16" s="105">
        <v>-14876.107660025802</v>
      </c>
      <c r="E16" s="105">
        <v>-20693.313444855055</v>
      </c>
      <c r="F16" s="169">
        <v>-4897.5660407713403</v>
      </c>
      <c r="G16" s="169">
        <v>-9639.0323332212392</v>
      </c>
      <c r="H16" s="169">
        <v>-14501.639389251801</v>
      </c>
      <c r="I16" s="169">
        <v>-21167.580192477701</v>
      </c>
      <c r="J16" s="321">
        <v>-6223.1775596633997</v>
      </c>
      <c r="K16" s="321">
        <v>-12907.8490261508</v>
      </c>
      <c r="L16" s="321">
        <v>-16965.123232026301</v>
      </c>
      <c r="M16" s="321"/>
      <c r="N16" s="153"/>
      <c r="O16" s="229"/>
    </row>
    <row r="17" spans="1:15" ht="30" customHeight="1">
      <c r="A17" s="569" t="s">
        <v>633</v>
      </c>
      <c r="B17" s="105">
        <v>-914.02068000000008</v>
      </c>
      <c r="C17" s="105">
        <v>-1047.5987043359999</v>
      </c>
      <c r="D17" s="105">
        <v>-1186.2345476800001</v>
      </c>
      <c r="E17" s="105">
        <v>-1442.9561545259799</v>
      </c>
      <c r="F17" s="169">
        <v>-307.52775000000003</v>
      </c>
      <c r="G17" s="169">
        <v>-363.33460052999999</v>
      </c>
      <c r="H17" s="169">
        <v>-437.48577530000006</v>
      </c>
      <c r="I17" s="169">
        <v>-497.12387280000002</v>
      </c>
      <c r="J17" s="321">
        <v>-2732.4885866899203</v>
      </c>
      <c r="K17" s="321">
        <v>-2909.9249464232598</v>
      </c>
      <c r="L17" s="321">
        <v>-2947.9856048748698</v>
      </c>
      <c r="M17" s="321"/>
      <c r="N17" s="153"/>
      <c r="O17" s="229"/>
    </row>
    <row r="18" spans="1:15" ht="30" customHeight="1">
      <c r="A18" s="569" t="s">
        <v>706</v>
      </c>
      <c r="B18" s="105">
        <v>-124.22320303809623</v>
      </c>
      <c r="C18" s="105">
        <v>1158.5656471437831</v>
      </c>
      <c r="D18" s="105">
        <v>1165.6393872843</v>
      </c>
      <c r="E18" s="105">
        <v>1199.411466102028</v>
      </c>
      <c r="F18" s="169">
        <v>1312.7966562586487</v>
      </c>
      <c r="G18" s="169">
        <v>1355.2146651852622</v>
      </c>
      <c r="H18" s="169">
        <v>1426.561670441964</v>
      </c>
      <c r="I18" s="169">
        <v>1461.9710278457951</v>
      </c>
      <c r="J18" s="321">
        <v>14.0595250235754</v>
      </c>
      <c r="K18" s="321">
        <v>198.72559115321741</v>
      </c>
      <c r="L18" s="321">
        <v>4839.0209597196626</v>
      </c>
      <c r="M18" s="321"/>
      <c r="N18" s="153"/>
      <c r="O18" s="229"/>
    </row>
    <row r="19" spans="1:15" ht="15" customHeight="1">
      <c r="A19" s="104" t="s">
        <v>707</v>
      </c>
      <c r="B19" s="109">
        <v>56.89592500861017</v>
      </c>
      <c r="C19" s="109">
        <v>-2.4318228150931285</v>
      </c>
      <c r="D19" s="109">
        <v>-50.435113286702212</v>
      </c>
      <c r="E19" s="109">
        <v>-60.555218914225534</v>
      </c>
      <c r="F19" s="169">
        <v>-20.929071532131367</v>
      </c>
      <c r="G19" s="169">
        <v>-107.0076424160453</v>
      </c>
      <c r="H19" s="169">
        <v>-338.10999771800772</v>
      </c>
      <c r="I19" s="169">
        <v>-78.549502465858396</v>
      </c>
      <c r="J19" s="321">
        <v>-430.30923213896551</v>
      </c>
      <c r="K19" s="321">
        <v>-139.6204324853791</v>
      </c>
      <c r="L19" s="321">
        <v>75.046057637033215</v>
      </c>
      <c r="M19" s="321"/>
      <c r="N19" s="153"/>
      <c r="O19" s="229"/>
    </row>
    <row r="20" spans="1:15" ht="18" customHeight="1">
      <c r="A20" s="101" t="s">
        <v>571</v>
      </c>
      <c r="B20" s="106">
        <v>-6919.2024146562653</v>
      </c>
      <c r="C20" s="106">
        <v>-10044.380358451712</v>
      </c>
      <c r="D20" s="106">
        <v>-14947.137933708203</v>
      </c>
      <c r="E20" s="106">
        <v>-20997.413352193231</v>
      </c>
      <c r="F20" s="171">
        <v>-3913.2262060448229</v>
      </c>
      <c r="G20" s="171">
        <v>-8754.1599109820236</v>
      </c>
      <c r="H20" s="171">
        <v>-13850.673491827843</v>
      </c>
      <c r="I20" s="171">
        <v>-20281.282539897766</v>
      </c>
      <c r="J20" s="334">
        <v>-9371.9158534687103</v>
      </c>
      <c r="K20" s="334">
        <v>-15758.668813906221</v>
      </c>
      <c r="L20" s="334">
        <v>-14999.041819544474</v>
      </c>
      <c r="M20" s="334"/>
      <c r="N20" s="153"/>
      <c r="O20" s="229"/>
    </row>
    <row r="21" spans="1:15" ht="15" customHeight="1">
      <c r="A21" s="111"/>
      <c r="B21" s="105"/>
      <c r="C21" s="105"/>
      <c r="D21" s="105"/>
      <c r="E21" s="105"/>
      <c r="F21" s="169"/>
      <c r="G21" s="169"/>
      <c r="H21" s="169"/>
      <c r="I21" s="169"/>
      <c r="J21" s="321"/>
      <c r="K21" s="321"/>
      <c r="L21" s="321"/>
      <c r="M21" s="321"/>
      <c r="N21" s="153"/>
      <c r="O21" s="229"/>
    </row>
    <row r="22" spans="1:15" ht="15" customHeight="1">
      <c r="A22" s="104" t="s">
        <v>415</v>
      </c>
      <c r="B22" s="105">
        <v>1638.6516560708299</v>
      </c>
      <c r="C22" s="105">
        <v>4280.8215324876383</v>
      </c>
      <c r="D22" s="105">
        <v>2424.124652800791</v>
      </c>
      <c r="E22" s="105">
        <v>1134.8931048173965</v>
      </c>
      <c r="F22" s="169">
        <v>-2070.9873248722502</v>
      </c>
      <c r="G22" s="169">
        <v>-1556.03718319267</v>
      </c>
      <c r="H22" s="169">
        <v>1712.8497623279795</v>
      </c>
      <c r="I22" s="169">
        <v>-539.99384397790016</v>
      </c>
      <c r="J22" s="321">
        <v>-600.38096832246981</v>
      </c>
      <c r="K22" s="321">
        <v>2315.5832478124194</v>
      </c>
      <c r="L22" s="321">
        <v>7738.552080357199</v>
      </c>
      <c r="M22" s="321"/>
      <c r="N22" s="153"/>
      <c r="O22" s="229"/>
    </row>
    <row r="23" spans="1:15" ht="15" customHeight="1">
      <c r="A23" s="104" t="s">
        <v>576</v>
      </c>
      <c r="B23" s="105">
        <v>0</v>
      </c>
      <c r="C23" s="105">
        <v>0</v>
      </c>
      <c r="D23" s="105">
        <v>-1047.6089999999999</v>
      </c>
      <c r="E23" s="105">
        <v>-1047.6089999999999</v>
      </c>
      <c r="F23" s="169">
        <v>0</v>
      </c>
      <c r="G23" s="169">
        <v>0</v>
      </c>
      <c r="H23" s="169">
        <v>0</v>
      </c>
      <c r="I23" s="169">
        <v>0</v>
      </c>
      <c r="J23" s="321">
        <v>0</v>
      </c>
      <c r="K23" s="321">
        <v>0</v>
      </c>
      <c r="L23" s="321">
        <v>0</v>
      </c>
      <c r="M23" s="321"/>
      <c r="N23" s="153"/>
      <c r="O23" s="229"/>
    </row>
    <row r="24" spans="1:15" ht="15" customHeight="1">
      <c r="A24" s="104" t="s">
        <v>650</v>
      </c>
      <c r="B24" s="105">
        <v>-493.20608328729998</v>
      </c>
      <c r="C24" s="105">
        <v>-1393.9592957458999</v>
      </c>
      <c r="D24" s="105">
        <v>-2595.9611693346501</v>
      </c>
      <c r="E24" s="105">
        <v>-3385.8443684469698</v>
      </c>
      <c r="F24" s="169">
        <v>-611.35804198956589</v>
      </c>
      <c r="G24" s="169">
        <v>-2145.9626798989802</v>
      </c>
      <c r="H24" s="169">
        <v>-3267.8756022601101</v>
      </c>
      <c r="I24" s="169">
        <v>-3776.8608134690498</v>
      </c>
      <c r="J24" s="321">
        <v>-694.46619719722878</v>
      </c>
      <c r="K24" s="321">
        <v>-1643.095358446222</v>
      </c>
      <c r="L24" s="321">
        <v>-2725.5084073393091</v>
      </c>
      <c r="M24" s="321"/>
      <c r="N24" s="153"/>
      <c r="O24" s="229"/>
    </row>
    <row r="25" spans="1:15" ht="15" customHeight="1">
      <c r="A25" s="104" t="s">
        <v>565</v>
      </c>
      <c r="B25" s="109">
        <v>0</v>
      </c>
      <c r="C25" s="109">
        <v>-10097.496999999999</v>
      </c>
      <c r="D25" s="109">
        <v>-10567.498</v>
      </c>
      <c r="E25" s="109">
        <v>-10567.498</v>
      </c>
      <c r="F25" s="169">
        <v>0</v>
      </c>
      <c r="G25" s="169">
        <v>-5449.5410000000002</v>
      </c>
      <c r="H25" s="169">
        <v>-5703.6909999999998</v>
      </c>
      <c r="I25" s="169">
        <v>-10723.794</v>
      </c>
      <c r="J25" s="321">
        <v>-235</v>
      </c>
      <c r="K25" s="321">
        <v>-5980.8320000000003</v>
      </c>
      <c r="L25" s="321">
        <v>-6240.8320000000003</v>
      </c>
      <c r="M25" s="321"/>
      <c r="N25" s="153"/>
      <c r="O25" s="229"/>
    </row>
    <row r="26" spans="1:15" ht="18" customHeight="1">
      <c r="A26" s="101" t="s">
        <v>131</v>
      </c>
      <c r="B26" s="106">
        <v>1145.4455727835298</v>
      </c>
      <c r="C26" s="106">
        <v>-7210.634763258261</v>
      </c>
      <c r="D26" s="106">
        <v>-11786.943516533858</v>
      </c>
      <c r="E26" s="106">
        <v>-13866.058263629573</v>
      </c>
      <c r="F26" s="171">
        <v>-2682.3498774318159</v>
      </c>
      <c r="G26" s="171">
        <v>-9151.5409350016507</v>
      </c>
      <c r="H26" s="171">
        <v>-7258.61622046713</v>
      </c>
      <c r="I26" s="171">
        <v>-15040.648657446951</v>
      </c>
      <c r="J26" s="334">
        <v>-1529.8471655196986</v>
      </c>
      <c r="K26" s="334">
        <v>-5308.3441106338032</v>
      </c>
      <c r="L26" s="334">
        <v>-1227.7883269821104</v>
      </c>
      <c r="M26" s="334"/>
      <c r="N26" s="153"/>
      <c r="O26" s="229"/>
    </row>
    <row r="27" spans="1:15" ht="15" customHeight="1">
      <c r="A27" s="127"/>
      <c r="B27" s="105"/>
      <c r="C27" s="105"/>
      <c r="D27" s="105"/>
      <c r="E27" s="105"/>
      <c r="F27" s="169"/>
      <c r="G27" s="169"/>
      <c r="H27" s="169"/>
      <c r="I27" s="169"/>
      <c r="J27" s="321"/>
      <c r="K27" s="321"/>
      <c r="L27" s="321"/>
      <c r="M27" s="321"/>
      <c r="N27" s="153"/>
      <c r="O27" s="229"/>
    </row>
    <row r="28" spans="1:15" ht="15" customHeight="1">
      <c r="A28" s="104" t="s">
        <v>497</v>
      </c>
      <c r="B28" s="109">
        <v>-89.7490976560549</v>
      </c>
      <c r="C28" s="109">
        <v>15.5511800248083</v>
      </c>
      <c r="D28" s="109">
        <v>141.67224788762599</v>
      </c>
      <c r="E28" s="109">
        <v>927.08816958474904</v>
      </c>
      <c r="F28" s="169">
        <v>189.00211224762589</v>
      </c>
      <c r="G28" s="169">
        <v>-33.652111687769704</v>
      </c>
      <c r="H28" s="169">
        <v>-67.813302720205897</v>
      </c>
      <c r="I28" s="169">
        <v>81.105139797982801</v>
      </c>
      <c r="J28" s="321">
        <v>-101.525511515641</v>
      </c>
      <c r="K28" s="321">
        <v>-57.771418331662197</v>
      </c>
      <c r="L28" s="321">
        <v>-631.004531078318</v>
      </c>
      <c r="M28" s="321"/>
      <c r="N28" s="153"/>
      <c r="O28" s="229"/>
    </row>
    <row r="29" spans="1:15" ht="18" customHeight="1">
      <c r="A29" s="147" t="s">
        <v>378</v>
      </c>
      <c r="B29" s="106">
        <v>3079.1222500352342</v>
      </c>
      <c r="C29" s="106">
        <v>-116.89286375462325</v>
      </c>
      <c r="D29" s="106">
        <v>1223.4748332699528</v>
      </c>
      <c r="E29" s="106">
        <v>-84.948648795871122</v>
      </c>
      <c r="F29" s="171">
        <v>1987.9013936116899</v>
      </c>
      <c r="G29" s="171">
        <v>239.74856860777436</v>
      </c>
      <c r="H29" s="171">
        <v>7986.1398400533435</v>
      </c>
      <c r="I29" s="171">
        <v>1866.2912784591244</v>
      </c>
      <c r="J29" s="334">
        <v>213.10827852017428</v>
      </c>
      <c r="K29" s="334">
        <v>-1027.9758656578269</v>
      </c>
      <c r="L29" s="334">
        <v>13730.601628159773</v>
      </c>
      <c r="M29" s="334"/>
      <c r="N29" s="153"/>
      <c r="O29" s="229"/>
    </row>
    <row r="30" spans="1:15" ht="15" customHeight="1">
      <c r="A30" s="125" t="s">
        <v>379</v>
      </c>
      <c r="B30" s="105">
        <v>11978.2762299037</v>
      </c>
      <c r="C30" s="105">
        <v>11978.2762299037</v>
      </c>
      <c r="D30" s="105">
        <v>11978.2762299037</v>
      </c>
      <c r="E30" s="105">
        <v>11978.2762299037</v>
      </c>
      <c r="F30" s="169">
        <v>11893.329480241488</v>
      </c>
      <c r="G30" s="169">
        <v>11893.329480241488</v>
      </c>
      <c r="H30" s="169">
        <v>11893.329480241502</v>
      </c>
      <c r="I30" s="169">
        <v>11893.329480241502</v>
      </c>
      <c r="J30" s="321">
        <v>13759.6327739469</v>
      </c>
      <c r="K30" s="321">
        <v>13759.6327739469</v>
      </c>
      <c r="L30" s="321">
        <v>13759.6327739469</v>
      </c>
      <c r="M30" s="321"/>
      <c r="N30" s="153"/>
      <c r="O30" s="229"/>
    </row>
    <row r="31" spans="1:15" ht="18" customHeight="1">
      <c r="A31" s="387" t="s">
        <v>723</v>
      </c>
      <c r="B31" s="107">
        <v>15058.1312793946</v>
      </c>
      <c r="C31" s="107">
        <v>11861.9609591648</v>
      </c>
      <c r="D31" s="107">
        <v>13201.767665140898</v>
      </c>
      <c r="E31" s="107">
        <v>11893.329480241488</v>
      </c>
      <c r="F31" s="172">
        <v>13881.27240808225</v>
      </c>
      <c r="G31" s="172">
        <v>12133.083092205228</v>
      </c>
      <c r="H31" s="172">
        <v>19880.603563861499</v>
      </c>
      <c r="I31" s="172">
        <v>13759.6327739469</v>
      </c>
      <c r="J31" s="348">
        <v>13972.734590686499</v>
      </c>
      <c r="K31" s="348">
        <v>12731.3261536838</v>
      </c>
      <c r="L31" s="348">
        <v>27490.403733692903</v>
      </c>
      <c r="M31" s="348"/>
      <c r="N31" s="153"/>
      <c r="O31" s="229"/>
    </row>
    <row r="32" spans="1:15" ht="15" customHeight="1">
      <c r="A32" s="565" t="s">
        <v>724</v>
      </c>
      <c r="B32" s="129"/>
      <c r="C32" s="129"/>
      <c r="D32" s="129"/>
      <c r="E32" s="129"/>
      <c r="F32" s="129"/>
      <c r="G32" s="129"/>
      <c r="H32" s="239"/>
      <c r="I32" s="129"/>
    </row>
    <row r="33" spans="1:1">
      <c r="A33" s="31"/>
    </row>
  </sheetData>
  <mergeCells count="3">
    <mergeCell ref="F4:I4"/>
    <mergeCell ref="B4:E4"/>
    <mergeCell ref="J4:M4"/>
  </mergeCells>
  <phoneticPr fontId="16" type="noConversion"/>
  <pageMargins left="0.34" right="0.32" top="0.984251969" bottom="0.984251969" header="0.5" footer="0.5"/>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1" enableFormatConditionsCalculation="0">
    <tabColor theme="2" tint="-9.9978637043366805E-2"/>
  </sheetPr>
  <dimension ref="A1:O76"/>
  <sheetViews>
    <sheetView showGridLines="0" view="pageBreakPreview" zoomScale="90" zoomScaleNormal="85" zoomScaleSheetLayoutView="90" workbookViewId="0">
      <selection activeCell="A3" sqref="A3"/>
    </sheetView>
  </sheetViews>
  <sheetFormatPr defaultColWidth="9.140625" defaultRowHeight="12.75"/>
  <cols>
    <col min="1" max="1" width="76.7109375" style="5" customWidth="1"/>
    <col min="2" max="13" width="13.7109375" customWidth="1"/>
  </cols>
  <sheetData>
    <row r="1" spans="1:15" ht="15" customHeight="1"/>
    <row r="2" spans="1:15" ht="15" customHeight="1">
      <c r="A2" s="140"/>
      <c r="K2" s="495"/>
    </row>
    <row r="3" spans="1:15" ht="15" customHeight="1" thickBot="1">
      <c r="A3" s="92" t="s">
        <v>546</v>
      </c>
      <c r="B3" s="93"/>
      <c r="C3" s="93"/>
      <c r="D3" s="93"/>
      <c r="E3" s="93"/>
      <c r="F3" s="93"/>
      <c r="G3" s="93"/>
      <c r="H3" s="93"/>
      <c r="I3" s="93"/>
      <c r="J3" s="93"/>
      <c r="K3" s="93"/>
      <c r="L3" s="93"/>
      <c r="M3" s="93"/>
    </row>
    <row r="4" spans="1:15" ht="15" customHeight="1" thickBot="1">
      <c r="A4" s="78" t="s">
        <v>33</v>
      </c>
      <c r="B4" s="576">
        <v>2014</v>
      </c>
      <c r="C4" s="577"/>
      <c r="D4" s="577"/>
      <c r="E4" s="578"/>
      <c r="F4" s="579">
        <v>2015</v>
      </c>
      <c r="G4" s="580"/>
      <c r="H4" s="580"/>
      <c r="I4" s="581"/>
      <c r="J4" s="582">
        <v>2016</v>
      </c>
      <c r="K4" s="583"/>
      <c r="L4" s="583"/>
      <c r="M4" s="583"/>
    </row>
    <row r="5" spans="1:15" ht="15" customHeight="1" thickBot="1">
      <c r="A5" s="79" t="s">
        <v>527</v>
      </c>
      <c r="B5" s="290" t="s">
        <v>510</v>
      </c>
      <c r="C5" s="290" t="s">
        <v>511</v>
      </c>
      <c r="D5" s="290" t="s">
        <v>513</v>
      </c>
      <c r="E5" s="290" t="s">
        <v>514</v>
      </c>
      <c r="F5" s="311" t="s">
        <v>510</v>
      </c>
      <c r="G5" s="311" t="s">
        <v>511</v>
      </c>
      <c r="H5" s="311" t="s">
        <v>513</v>
      </c>
      <c r="I5" s="311" t="s">
        <v>514</v>
      </c>
      <c r="J5" s="237" t="s">
        <v>510</v>
      </c>
      <c r="K5" s="237" t="s">
        <v>511</v>
      </c>
      <c r="L5" s="237" t="s">
        <v>513</v>
      </c>
      <c r="M5" s="237" t="s">
        <v>514</v>
      </c>
    </row>
    <row r="6" spans="1:15" ht="18" customHeight="1">
      <c r="A6" s="130" t="s">
        <v>44</v>
      </c>
      <c r="B6" s="105"/>
      <c r="C6" s="105"/>
      <c r="D6" s="105"/>
      <c r="E6" s="105"/>
      <c r="F6" s="179"/>
      <c r="G6" s="179"/>
      <c r="H6" s="179"/>
      <c r="I6" s="179"/>
      <c r="J6" s="336"/>
      <c r="K6" s="336"/>
      <c r="L6" s="336"/>
      <c r="M6" s="336"/>
      <c r="O6" s="572"/>
    </row>
    <row r="7" spans="1:15" ht="15" customHeight="1">
      <c r="A7" s="83" t="s">
        <v>47</v>
      </c>
      <c r="B7" s="105">
        <v>-19.0332513</v>
      </c>
      <c r="C7" s="105">
        <v>-3.5500641799999997</v>
      </c>
      <c r="D7" s="105">
        <v>-2.9140902299999993</v>
      </c>
      <c r="E7" s="105">
        <v>-5.4975361899999982</v>
      </c>
      <c r="F7" s="166">
        <v>-12.409820359999999</v>
      </c>
      <c r="G7" s="166">
        <v>-3.6855211100000016</v>
      </c>
      <c r="H7" s="166">
        <v>-2.1254136199999962</v>
      </c>
      <c r="I7" s="166">
        <v>-3.9185014600000052</v>
      </c>
      <c r="J7" s="330">
        <v>0</v>
      </c>
      <c r="K7" s="330">
        <v>-1.9310496599999998</v>
      </c>
      <c r="L7" s="330">
        <v>0</v>
      </c>
      <c r="M7" s="330"/>
      <c r="O7" s="572"/>
    </row>
    <row r="8" spans="1:15" ht="15" customHeight="1">
      <c r="A8" s="83" t="s">
        <v>23</v>
      </c>
      <c r="B8" s="105">
        <v>11.1177827253694</v>
      </c>
      <c r="C8" s="105">
        <v>5.6965515261868003</v>
      </c>
      <c r="D8" s="105">
        <v>-2.3287448805973998</v>
      </c>
      <c r="E8" s="105">
        <v>-59.449434601754398</v>
      </c>
      <c r="F8" s="166">
        <v>2.94109840003498</v>
      </c>
      <c r="G8" s="166">
        <v>-19.39196133570028</v>
      </c>
      <c r="H8" s="166">
        <v>-1.2067734809469002</v>
      </c>
      <c r="I8" s="166">
        <v>10.09345038807805</v>
      </c>
      <c r="J8" s="330">
        <v>-0.54924125223284292</v>
      </c>
      <c r="K8" s="330">
        <v>-1.1977387270530371</v>
      </c>
      <c r="L8" s="330">
        <v>-0.76788051033029969</v>
      </c>
      <c r="M8" s="330"/>
      <c r="O8" s="572"/>
    </row>
    <row r="9" spans="1:15" ht="15" customHeight="1">
      <c r="A9" s="83" t="s">
        <v>13</v>
      </c>
      <c r="B9" s="105">
        <v>-0.99986571588000006</v>
      </c>
      <c r="C9" s="105">
        <v>-1.162805566776</v>
      </c>
      <c r="D9" s="105">
        <v>-0.16748986772600016</v>
      </c>
      <c r="E9" s="105">
        <v>-46.512695487777997</v>
      </c>
      <c r="F9" s="166">
        <v>0.89892778365900405</v>
      </c>
      <c r="G9" s="166">
        <v>-8.5550321554265132</v>
      </c>
      <c r="H9" s="166">
        <v>-154.4026003188425</v>
      </c>
      <c r="I9" s="166">
        <v>-17.277453059039999</v>
      </c>
      <c r="J9" s="330">
        <v>-0.74791332486680195</v>
      </c>
      <c r="K9" s="330">
        <v>-7.4017884723365572</v>
      </c>
      <c r="L9" s="330">
        <v>-13.453748083777441</v>
      </c>
      <c r="M9" s="330"/>
      <c r="O9" s="572"/>
    </row>
    <row r="10" spans="1:15" ht="15" customHeight="1">
      <c r="A10" s="83" t="s">
        <v>17</v>
      </c>
      <c r="B10" s="105">
        <v>-1.4444921403000002</v>
      </c>
      <c r="C10" s="105">
        <v>-1.0429209567</v>
      </c>
      <c r="D10" s="105">
        <v>-5.9583996586000003</v>
      </c>
      <c r="E10" s="105">
        <v>-4.3304672310000001</v>
      </c>
      <c r="F10" s="166">
        <v>-4.9375784571000008</v>
      </c>
      <c r="G10" s="166">
        <v>-4.3193265934999996</v>
      </c>
      <c r="H10" s="166">
        <v>-2.4470760633999991</v>
      </c>
      <c r="I10" s="166">
        <v>-8.6765155782000019</v>
      </c>
      <c r="J10" s="330">
        <v>-2.3050176896518102</v>
      </c>
      <c r="K10" s="330">
        <v>-2.2617818186081888</v>
      </c>
      <c r="L10" s="330">
        <v>-3.0543743634360006</v>
      </c>
      <c r="M10" s="330"/>
      <c r="O10" s="572"/>
    </row>
    <row r="11" spans="1:15" ht="15" customHeight="1">
      <c r="A11" s="83" t="s">
        <v>609</v>
      </c>
      <c r="B11" s="105">
        <v>-2.6295982985999999</v>
      </c>
      <c r="C11" s="105">
        <v>-0.81015609260000021</v>
      </c>
      <c r="D11" s="105">
        <v>1.4029949737000003</v>
      </c>
      <c r="E11" s="105">
        <v>0</v>
      </c>
      <c r="F11" s="166">
        <v>2.8092959747999999</v>
      </c>
      <c r="G11" s="166">
        <v>-6.4873529781999997</v>
      </c>
      <c r="H11" s="166">
        <v>-1.0179484745000003</v>
      </c>
      <c r="I11" s="166">
        <v>3.7564462859999983</v>
      </c>
      <c r="J11" s="330">
        <v>0</v>
      </c>
      <c r="K11" s="330">
        <v>-1.4700203091539998</v>
      </c>
      <c r="L11" s="330">
        <v>0</v>
      </c>
      <c r="M11" s="330"/>
      <c r="O11" s="572"/>
    </row>
    <row r="12" spans="1:15" ht="15" customHeight="1">
      <c r="A12" s="104" t="s">
        <v>620</v>
      </c>
      <c r="B12" s="105">
        <v>-1.1990264636699999</v>
      </c>
      <c r="C12" s="105">
        <v>0</v>
      </c>
      <c r="D12" s="105">
        <v>-1.7222973592260002</v>
      </c>
      <c r="E12" s="105">
        <v>0</v>
      </c>
      <c r="F12" s="166">
        <v>-0.73689615587000001</v>
      </c>
      <c r="G12" s="166">
        <v>2.5082534546310002</v>
      </c>
      <c r="H12" s="166">
        <v>2.085095313754</v>
      </c>
      <c r="I12" s="166">
        <v>1.6498209716949996</v>
      </c>
      <c r="J12" s="330">
        <v>0.65690395788799993</v>
      </c>
      <c r="K12" s="330">
        <v>0</v>
      </c>
      <c r="L12" s="330">
        <v>1.08415198135916</v>
      </c>
      <c r="M12" s="330"/>
      <c r="O12" s="572"/>
    </row>
    <row r="13" spans="1:15" ht="15" customHeight="1">
      <c r="A13" s="83" t="s">
        <v>637</v>
      </c>
      <c r="B13" s="105">
        <v>10.013315884223999</v>
      </c>
      <c r="C13" s="105">
        <v>8.6325265194960004</v>
      </c>
      <c r="D13" s="105">
        <v>1.1580550134381014</v>
      </c>
      <c r="E13" s="105">
        <v>18.005940152616201</v>
      </c>
      <c r="F13" s="166">
        <v>-2.446196026935</v>
      </c>
      <c r="G13" s="166">
        <v>-9.5473551022949987</v>
      </c>
      <c r="H13" s="166">
        <v>-1.0625159606540002</v>
      </c>
      <c r="I13" s="166">
        <v>-15.179813292136</v>
      </c>
      <c r="J13" s="330">
        <v>-35.746379641749996</v>
      </c>
      <c r="K13" s="330">
        <v>-16.0859443286095</v>
      </c>
      <c r="L13" s="330">
        <v>-2.050604337319605</v>
      </c>
      <c r="M13" s="330"/>
      <c r="O13" s="572"/>
    </row>
    <row r="14" spans="1:15" ht="15" customHeight="1">
      <c r="A14" s="83" t="s">
        <v>646</v>
      </c>
      <c r="B14" s="105">
        <v>9.8969097000000001</v>
      </c>
      <c r="C14" s="105">
        <v>0</v>
      </c>
      <c r="D14" s="105">
        <v>0</v>
      </c>
      <c r="E14" s="105">
        <v>3.1131513530900019</v>
      </c>
      <c r="F14" s="166">
        <v>0</v>
      </c>
      <c r="G14" s="166">
        <v>0</v>
      </c>
      <c r="H14" s="166">
        <v>0.62484480055399994</v>
      </c>
      <c r="I14" s="166">
        <v>0</v>
      </c>
      <c r="J14" s="330">
        <v>0</v>
      </c>
      <c r="K14" s="330">
        <v>0</v>
      </c>
      <c r="L14" s="330">
        <v>0</v>
      </c>
      <c r="M14" s="330"/>
      <c r="O14" s="572"/>
    </row>
    <row r="15" spans="1:15" ht="15" customHeight="1">
      <c r="A15" s="83" t="s">
        <v>494</v>
      </c>
      <c r="B15" s="105">
        <v>1.3357886701299999</v>
      </c>
      <c r="C15" s="105">
        <v>3.9447861654820007</v>
      </c>
      <c r="D15" s="105">
        <v>1.6789845465879996</v>
      </c>
      <c r="E15" s="105">
        <v>-5.3386574734950001</v>
      </c>
      <c r="F15" s="166">
        <v>0</v>
      </c>
      <c r="G15" s="166">
        <v>-1.1188276662529999</v>
      </c>
      <c r="H15" s="166">
        <v>0</v>
      </c>
      <c r="I15" s="166">
        <v>-7.2858960019279984</v>
      </c>
      <c r="J15" s="330">
        <v>-0.95558117871199999</v>
      </c>
      <c r="K15" s="330">
        <v>0</v>
      </c>
      <c r="L15" s="330">
        <v>1.7824425961484809</v>
      </c>
      <c r="M15" s="330"/>
      <c r="O15" s="572"/>
    </row>
    <row r="16" spans="1:15" ht="15" customHeight="1">
      <c r="A16" s="104" t="s">
        <v>26</v>
      </c>
      <c r="B16" s="105">
        <v>4.0322007539374995</v>
      </c>
      <c r="C16" s="105">
        <v>-17.0842271735556</v>
      </c>
      <c r="D16" s="105">
        <v>-1.1165534979819007</v>
      </c>
      <c r="E16" s="105">
        <v>0</v>
      </c>
      <c r="F16" s="166">
        <v>5.8629478428494997</v>
      </c>
      <c r="G16" s="166">
        <v>-0.29980864530829976</v>
      </c>
      <c r="H16" s="166">
        <v>0.55415478193959977</v>
      </c>
      <c r="I16" s="166">
        <v>-4.4687828703177992</v>
      </c>
      <c r="J16" s="330">
        <v>-3.9863164351780003</v>
      </c>
      <c r="K16" s="330">
        <v>1.29424218786564</v>
      </c>
      <c r="L16" s="330">
        <v>1.1071580586129803</v>
      </c>
      <c r="M16" s="330"/>
      <c r="O16" s="572"/>
    </row>
    <row r="17" spans="1:15" ht="15" customHeight="1">
      <c r="A17" s="104" t="s">
        <v>45</v>
      </c>
      <c r="B17" s="105">
        <v>1658.90221278391</v>
      </c>
      <c r="C17" s="105">
        <v>2.0784659566600112</v>
      </c>
      <c r="D17" s="105">
        <v>0.75773791834990334</v>
      </c>
      <c r="E17" s="105">
        <v>0</v>
      </c>
      <c r="F17" s="166">
        <v>-1.1472758491455599</v>
      </c>
      <c r="G17" s="166">
        <v>0.73421398501909996</v>
      </c>
      <c r="H17" s="166">
        <v>-28.828659300269543</v>
      </c>
      <c r="I17" s="166">
        <v>-90.260376898895998</v>
      </c>
      <c r="J17" s="330">
        <v>-23.998211900725398</v>
      </c>
      <c r="K17" s="330">
        <v>7.3278353632626967</v>
      </c>
      <c r="L17" s="330">
        <v>2.4576797770388019</v>
      </c>
      <c r="M17" s="330"/>
      <c r="O17" s="572"/>
    </row>
    <row r="18" spans="1:15" ht="15" customHeight="1">
      <c r="A18" s="104" t="s">
        <v>613</v>
      </c>
      <c r="B18" s="105">
        <v>0</v>
      </c>
      <c r="C18" s="105">
        <v>0</v>
      </c>
      <c r="D18" s="105">
        <v>0</v>
      </c>
      <c r="E18" s="105">
        <v>0</v>
      </c>
      <c r="F18" s="166">
        <v>0</v>
      </c>
      <c r="G18" s="166">
        <v>0</v>
      </c>
      <c r="H18" s="166">
        <v>-13.034877528814599</v>
      </c>
      <c r="I18" s="166">
        <v>-24.429233224438612</v>
      </c>
      <c r="J18" s="330">
        <v>0</v>
      </c>
      <c r="K18" s="330">
        <v>-0.65632057762132345</v>
      </c>
      <c r="L18" s="330">
        <v>0</v>
      </c>
      <c r="M18" s="330"/>
      <c r="O18" s="572"/>
    </row>
    <row r="19" spans="1:15" ht="15" customHeight="1">
      <c r="A19" s="131" t="s">
        <v>380</v>
      </c>
      <c r="B19" s="105">
        <v>1211.2039420799999</v>
      </c>
      <c r="C19" s="105">
        <v>0</v>
      </c>
      <c r="D19" s="105">
        <v>-7.309883310000032</v>
      </c>
      <c r="E19" s="105">
        <v>7.4605306200000996</v>
      </c>
      <c r="F19" s="166">
        <v>0</v>
      </c>
      <c r="G19" s="166">
        <v>-0.68115719999999991</v>
      </c>
      <c r="H19" s="166">
        <v>-0.58659309000000004</v>
      </c>
      <c r="I19" s="166">
        <v>-2.6785625800000004</v>
      </c>
      <c r="J19" s="330">
        <v>0</v>
      </c>
      <c r="K19" s="330">
        <v>-6.2017565999999995</v>
      </c>
      <c r="L19" s="330">
        <v>0</v>
      </c>
      <c r="M19" s="330"/>
      <c r="O19" s="572"/>
    </row>
    <row r="20" spans="1:15" ht="15" customHeight="1">
      <c r="A20" s="131" t="s">
        <v>407</v>
      </c>
      <c r="B20" s="105">
        <v>-0.82923189999999991</v>
      </c>
      <c r="C20" s="105">
        <v>9.2175963000000021</v>
      </c>
      <c r="D20" s="105">
        <v>-1.9613893987999997</v>
      </c>
      <c r="E20" s="105">
        <v>29.599500638232005</v>
      </c>
      <c r="F20" s="166">
        <v>-10.875499999999999</v>
      </c>
      <c r="G20" s="166">
        <v>1.2981992200000008</v>
      </c>
      <c r="H20" s="166">
        <v>0</v>
      </c>
      <c r="I20" s="166">
        <v>-4.0137928199999049</v>
      </c>
      <c r="J20" s="330">
        <v>0</v>
      </c>
      <c r="K20" s="330">
        <v>0</v>
      </c>
      <c r="L20" s="330">
        <v>10.743788558</v>
      </c>
      <c r="M20" s="330"/>
      <c r="O20" s="572"/>
    </row>
    <row r="21" spans="1:15" ht="15" customHeight="1">
      <c r="A21" s="131" t="s">
        <v>408</v>
      </c>
      <c r="B21" s="105">
        <v>0</v>
      </c>
      <c r="C21" s="105">
        <v>8.508953040699998</v>
      </c>
      <c r="D21" s="105">
        <v>-9.7332196894000003</v>
      </c>
      <c r="E21" s="105">
        <v>-36.261443467000007</v>
      </c>
      <c r="F21" s="166">
        <v>25.106781099999999</v>
      </c>
      <c r="G21" s="166">
        <v>12.330459487112002</v>
      </c>
      <c r="H21" s="166">
        <v>0</v>
      </c>
      <c r="I21" s="166">
        <v>-15.823668686798097</v>
      </c>
      <c r="J21" s="330">
        <v>2.0960773093580003</v>
      </c>
      <c r="K21" s="330">
        <v>10.007787727848401</v>
      </c>
      <c r="L21" s="330">
        <v>-13.817280632966961</v>
      </c>
      <c r="M21" s="330"/>
      <c r="O21" s="572"/>
    </row>
    <row r="22" spans="1:15" ht="15" customHeight="1">
      <c r="A22" s="131" t="s">
        <v>410</v>
      </c>
      <c r="B22" s="105">
        <v>0</v>
      </c>
      <c r="C22" s="105">
        <v>0</v>
      </c>
      <c r="D22" s="105">
        <v>0</v>
      </c>
      <c r="E22" s="105">
        <v>0</v>
      </c>
      <c r="F22" s="166">
        <v>0</v>
      </c>
      <c r="G22" s="166">
        <v>0</v>
      </c>
      <c r="H22" s="166">
        <v>0</v>
      </c>
      <c r="I22" s="166">
        <v>0</v>
      </c>
      <c r="J22" s="330">
        <v>0</v>
      </c>
      <c r="K22" s="330">
        <v>0</v>
      </c>
      <c r="L22" s="330">
        <v>0</v>
      </c>
      <c r="M22" s="330"/>
      <c r="O22" s="572"/>
    </row>
    <row r="23" spans="1:15" ht="18" customHeight="1">
      <c r="A23" s="132" t="s">
        <v>567</v>
      </c>
      <c r="B23" s="106">
        <v>2880.6055597478207</v>
      </c>
      <c r="C23" s="106">
        <v>14.982146920649484</v>
      </c>
      <c r="D23" s="106">
        <v>-27.961030356901574</v>
      </c>
      <c r="E23" s="106">
        <v>-99.106585371187521</v>
      </c>
      <c r="F23" s="167">
        <v>4.9354365540909999</v>
      </c>
      <c r="G23" s="167">
        <v>-37.213126703713087</v>
      </c>
      <c r="H23" s="167">
        <v>-201.42880320421921</v>
      </c>
      <c r="I23" s="167">
        <v>-178.615703921625</v>
      </c>
      <c r="J23" s="331">
        <v>-65.690944671467221</v>
      </c>
      <c r="K23" s="331">
        <v>-17.823057489401279</v>
      </c>
      <c r="L23" s="331">
        <v>-15.937126556685513</v>
      </c>
      <c r="M23" s="331"/>
      <c r="O23" s="572"/>
    </row>
    <row r="24" spans="1:15" ht="15" customHeight="1">
      <c r="A24" s="90"/>
      <c r="B24" s="105"/>
      <c r="C24" s="105"/>
      <c r="D24" s="105"/>
      <c r="E24" s="105"/>
      <c r="F24" s="166"/>
      <c r="G24" s="166"/>
      <c r="H24" s="166"/>
      <c r="I24" s="166"/>
      <c r="J24" s="330"/>
      <c r="K24" s="330"/>
      <c r="L24" s="330"/>
      <c r="M24" s="330"/>
      <c r="O24" s="572"/>
    </row>
    <row r="25" spans="1:15" ht="15" customHeight="1">
      <c r="A25" s="137" t="s">
        <v>504</v>
      </c>
      <c r="B25" s="105"/>
      <c r="C25" s="105"/>
      <c r="D25" s="105"/>
      <c r="E25" s="105"/>
      <c r="F25" s="166"/>
      <c r="G25" s="166"/>
      <c r="H25" s="166"/>
      <c r="I25" s="166"/>
      <c r="J25" s="330"/>
      <c r="K25" s="330"/>
      <c r="L25" s="330"/>
      <c r="M25" s="330"/>
      <c r="O25" s="572"/>
    </row>
    <row r="26" spans="1:15" ht="15" customHeight="1">
      <c r="A26" s="83" t="s">
        <v>47</v>
      </c>
      <c r="B26" s="105">
        <v>-277.16535556000002</v>
      </c>
      <c r="C26" s="105">
        <v>-33.346468539999989</v>
      </c>
      <c r="D26" s="105">
        <v>-84.067492429999959</v>
      </c>
      <c r="E26" s="105">
        <v>-41.319954960000018</v>
      </c>
      <c r="F26" s="166">
        <v>-17.339310649999998</v>
      </c>
      <c r="G26" s="166">
        <v>-53.723586931200003</v>
      </c>
      <c r="H26" s="166">
        <v>-155.12680791499997</v>
      </c>
      <c r="I26" s="166">
        <v>-35.11067471139998</v>
      </c>
      <c r="J26" s="330">
        <v>-74.584717620000006</v>
      </c>
      <c r="K26" s="330">
        <v>-34.176508739999989</v>
      </c>
      <c r="L26" s="330">
        <v>-33.763352350000019</v>
      </c>
      <c r="M26" s="330"/>
      <c r="O26" s="572"/>
    </row>
    <row r="27" spans="1:15" ht="15" customHeight="1">
      <c r="A27" s="83" t="s">
        <v>23</v>
      </c>
      <c r="B27" s="105">
        <v>-0.51888300749999994</v>
      </c>
      <c r="C27" s="105">
        <v>-13.9301550585</v>
      </c>
      <c r="D27" s="105">
        <v>7.5504606980000002</v>
      </c>
      <c r="E27" s="105">
        <v>-3.1011060207999996</v>
      </c>
      <c r="F27" s="166">
        <v>0</v>
      </c>
      <c r="G27" s="166">
        <v>-41.427170227200001</v>
      </c>
      <c r="H27" s="166">
        <v>-1.0550844420000018</v>
      </c>
      <c r="I27" s="166">
        <v>0</v>
      </c>
      <c r="J27" s="330">
        <v>0</v>
      </c>
      <c r="K27" s="330">
        <v>0</v>
      </c>
      <c r="L27" s="330">
        <v>0</v>
      </c>
      <c r="M27" s="330"/>
      <c r="O27" s="572"/>
    </row>
    <row r="28" spans="1:15" ht="15" customHeight="1">
      <c r="A28" s="83" t="s">
        <v>13</v>
      </c>
      <c r="B28" s="105">
        <v>-15.6211757805725</v>
      </c>
      <c r="C28" s="105">
        <v>-13.450134305591501</v>
      </c>
      <c r="D28" s="105">
        <v>-29.468547718876</v>
      </c>
      <c r="E28" s="105">
        <v>-40.685224767055999</v>
      </c>
      <c r="F28" s="166">
        <v>-6.743194304148</v>
      </c>
      <c r="G28" s="166">
        <v>-3.5553500286320006</v>
      </c>
      <c r="H28" s="166">
        <v>-22.12821224216</v>
      </c>
      <c r="I28" s="166">
        <v>-8.5331005331839975</v>
      </c>
      <c r="J28" s="330">
        <v>-7.6731260025420003</v>
      </c>
      <c r="K28" s="330">
        <v>-3.208458425539499</v>
      </c>
      <c r="L28" s="330">
        <v>-20.7291141519208</v>
      </c>
      <c r="M28" s="330"/>
      <c r="O28" s="572"/>
    </row>
    <row r="29" spans="1:15" ht="15" customHeight="1">
      <c r="A29" s="83" t="s">
        <v>17</v>
      </c>
      <c r="B29" s="105">
        <v>-17.425579753299999</v>
      </c>
      <c r="C29" s="105">
        <v>-4.3919173697000033</v>
      </c>
      <c r="D29" s="105">
        <v>0.72045171140000264</v>
      </c>
      <c r="E29" s="105">
        <v>-14.872230447600003</v>
      </c>
      <c r="F29" s="166">
        <v>-1.3112801887000001</v>
      </c>
      <c r="G29" s="166">
        <v>-1.5770635947999998</v>
      </c>
      <c r="H29" s="166">
        <v>-1.4977730425000004</v>
      </c>
      <c r="I29" s="166">
        <v>-0.61026345989999964</v>
      </c>
      <c r="J29" s="330">
        <v>-0.66855982001852599</v>
      </c>
      <c r="K29" s="330">
        <v>0</v>
      </c>
      <c r="L29" s="330">
        <v>-1.8386070768480003</v>
      </c>
      <c r="M29" s="330"/>
      <c r="O29" s="572"/>
    </row>
    <row r="30" spans="1:15" ht="15" customHeight="1">
      <c r="A30" s="83" t="s">
        <v>609</v>
      </c>
      <c r="B30" s="105">
        <v>0</v>
      </c>
      <c r="C30" s="105">
        <v>0</v>
      </c>
      <c r="D30" s="105">
        <v>0</v>
      </c>
      <c r="E30" s="105">
        <v>0</v>
      </c>
      <c r="F30" s="166">
        <v>0</v>
      </c>
      <c r="G30" s="166">
        <v>0</v>
      </c>
      <c r="H30" s="166">
        <v>0</v>
      </c>
      <c r="I30" s="166">
        <v>0</v>
      </c>
      <c r="J30" s="330">
        <v>0</v>
      </c>
      <c r="K30" s="330">
        <v>0</v>
      </c>
      <c r="L30" s="330">
        <v>0</v>
      </c>
      <c r="M30" s="330"/>
      <c r="O30" s="572"/>
    </row>
    <row r="31" spans="1:15" ht="15" customHeight="1">
      <c r="A31" s="104" t="s">
        <v>620</v>
      </c>
      <c r="B31" s="105">
        <v>0</v>
      </c>
      <c r="C31" s="105">
        <v>0</v>
      </c>
      <c r="D31" s="105">
        <v>0</v>
      </c>
      <c r="E31" s="105">
        <v>-2.2149038751969998</v>
      </c>
      <c r="F31" s="166">
        <v>0</v>
      </c>
      <c r="G31" s="166">
        <v>0</v>
      </c>
      <c r="H31" s="166">
        <v>-2.2716574356510004</v>
      </c>
      <c r="I31" s="166">
        <v>0</v>
      </c>
      <c r="J31" s="330">
        <v>-6.6881386887000002E-2</v>
      </c>
      <c r="K31" s="330">
        <v>-1.0106883935886901</v>
      </c>
      <c r="L31" s="330">
        <v>-1.0966125916632297</v>
      </c>
      <c r="M31" s="330"/>
      <c r="O31" s="572"/>
    </row>
    <row r="32" spans="1:15" ht="15" customHeight="1">
      <c r="A32" s="83" t="s">
        <v>637</v>
      </c>
      <c r="B32" s="105">
        <v>-2.2160050004879999</v>
      </c>
      <c r="C32" s="105">
        <v>-2.5709394387120001</v>
      </c>
      <c r="D32" s="105">
        <v>0</v>
      </c>
      <c r="E32" s="105">
        <v>-4.7833342972190014</v>
      </c>
      <c r="F32" s="166">
        <v>-6.1825605559139998</v>
      </c>
      <c r="G32" s="166">
        <v>-12.395714335614</v>
      </c>
      <c r="H32" s="166">
        <v>-5.9394271406470018</v>
      </c>
      <c r="I32" s="166">
        <v>-0.922424559199996</v>
      </c>
      <c r="J32" s="330">
        <v>-1.6465075122499999</v>
      </c>
      <c r="K32" s="330">
        <v>-93.877268799515193</v>
      </c>
      <c r="L32" s="330">
        <v>-7.7031815217478226</v>
      </c>
      <c r="M32" s="330"/>
      <c r="O32" s="572"/>
    </row>
    <row r="33" spans="1:15" ht="15" customHeight="1">
      <c r="A33" s="83" t="s">
        <v>646</v>
      </c>
      <c r="B33" s="105">
        <v>0</v>
      </c>
      <c r="C33" s="105">
        <v>0</v>
      </c>
      <c r="D33" s="105">
        <v>0</v>
      </c>
      <c r="E33" s="105">
        <v>0</v>
      </c>
      <c r="F33" s="166">
        <v>0</v>
      </c>
      <c r="G33" s="166">
        <v>0</v>
      </c>
      <c r="H33" s="166">
        <v>0</v>
      </c>
      <c r="I33" s="166">
        <v>0</v>
      </c>
      <c r="J33" s="330">
        <v>0</v>
      </c>
      <c r="K33" s="330">
        <v>0</v>
      </c>
      <c r="L33" s="330">
        <v>0</v>
      </c>
      <c r="M33" s="330"/>
      <c r="O33" s="572"/>
    </row>
    <row r="34" spans="1:15" ht="15" customHeight="1">
      <c r="A34" s="83" t="s">
        <v>494</v>
      </c>
      <c r="B34" s="105">
        <v>0</v>
      </c>
      <c r="C34" s="105">
        <v>0</v>
      </c>
      <c r="D34" s="105">
        <v>0</v>
      </c>
      <c r="E34" s="105">
        <v>-0.61344977099999998</v>
      </c>
      <c r="F34" s="166">
        <v>0</v>
      </c>
      <c r="G34" s="166">
        <v>0</v>
      </c>
      <c r="H34" s="166">
        <v>0.77583001600000001</v>
      </c>
      <c r="I34" s="166">
        <v>0</v>
      </c>
      <c r="J34" s="330">
        <v>0</v>
      </c>
      <c r="K34" s="330">
        <v>-102.116674315216</v>
      </c>
      <c r="L34" s="330">
        <v>0.53063374671999952</v>
      </c>
      <c r="M34" s="330"/>
      <c r="O34" s="572"/>
    </row>
    <row r="35" spans="1:15" ht="15" customHeight="1">
      <c r="A35" s="104" t="s">
        <v>26</v>
      </c>
      <c r="B35" s="105">
        <v>0</v>
      </c>
      <c r="C35" s="105">
        <v>0</v>
      </c>
      <c r="D35" s="105">
        <v>0</v>
      </c>
      <c r="E35" s="105">
        <v>0</v>
      </c>
      <c r="F35" s="166">
        <v>0</v>
      </c>
      <c r="G35" s="166">
        <v>0</v>
      </c>
      <c r="H35" s="166">
        <v>0</v>
      </c>
      <c r="I35" s="166">
        <v>0</v>
      </c>
      <c r="J35" s="330">
        <v>0</v>
      </c>
      <c r="K35" s="330">
        <v>0</v>
      </c>
      <c r="L35" s="330">
        <v>0</v>
      </c>
      <c r="M35" s="330"/>
      <c r="O35" s="572"/>
    </row>
    <row r="36" spans="1:15" ht="15" customHeight="1">
      <c r="A36" s="104" t="s">
        <v>45</v>
      </c>
      <c r="B36" s="105">
        <v>13.8527119425618</v>
      </c>
      <c r="C36" s="105">
        <v>-3.4028749954839004</v>
      </c>
      <c r="D36" s="105">
        <v>10.414071840922199</v>
      </c>
      <c r="E36" s="105">
        <v>-99.852337826084096</v>
      </c>
      <c r="F36" s="166">
        <v>4.7728481657456907</v>
      </c>
      <c r="G36" s="166">
        <v>1.4900241891883095</v>
      </c>
      <c r="H36" s="166">
        <v>5.8958636749981004</v>
      </c>
      <c r="I36" s="166">
        <v>-26.505171044185701</v>
      </c>
      <c r="J36" s="330">
        <v>-527.48263226974802</v>
      </c>
      <c r="K36" s="330">
        <v>3.3217097047379411</v>
      </c>
      <c r="L36" s="330">
        <v>28.196081293973066</v>
      </c>
      <c r="M36" s="330"/>
      <c r="O36" s="572"/>
    </row>
    <row r="37" spans="1:15" ht="15" customHeight="1">
      <c r="A37" s="104" t="s">
        <v>613</v>
      </c>
      <c r="B37" s="105">
        <v>0</v>
      </c>
      <c r="C37" s="105">
        <v>0</v>
      </c>
      <c r="D37" s="105">
        <v>0</v>
      </c>
      <c r="E37" s="105">
        <v>0</v>
      </c>
      <c r="F37" s="166">
        <v>0</v>
      </c>
      <c r="G37" s="166">
        <v>0</v>
      </c>
      <c r="H37" s="166">
        <v>0</v>
      </c>
      <c r="I37" s="166">
        <v>0</v>
      </c>
      <c r="J37" s="330">
        <v>0</v>
      </c>
      <c r="K37" s="330">
        <v>0</v>
      </c>
      <c r="L37" s="330">
        <v>0</v>
      </c>
      <c r="M37" s="330"/>
      <c r="O37" s="572"/>
    </row>
    <row r="38" spans="1:15" ht="15" customHeight="1">
      <c r="A38" s="131" t="s">
        <v>380</v>
      </c>
      <c r="B38" s="105">
        <v>-1.3158094099999997</v>
      </c>
      <c r="C38" s="105">
        <v>-7.060841439999999</v>
      </c>
      <c r="D38" s="105">
        <v>-39.407015000000001</v>
      </c>
      <c r="E38" s="105">
        <v>-19.86501947</v>
      </c>
      <c r="F38" s="166">
        <v>1.7831707300000001</v>
      </c>
      <c r="G38" s="166">
        <v>-2.4727368000000003</v>
      </c>
      <c r="H38" s="166">
        <v>-5.3939309000000009</v>
      </c>
      <c r="I38" s="166">
        <v>-3.3523277799999995</v>
      </c>
      <c r="J38" s="330">
        <v>-1.2213329999999998</v>
      </c>
      <c r="K38" s="330">
        <v>-7.5126430000000006</v>
      </c>
      <c r="L38" s="330">
        <v>-5.850164499423439</v>
      </c>
      <c r="M38" s="330"/>
      <c r="O38" s="572"/>
    </row>
    <row r="39" spans="1:15" ht="15" customHeight="1">
      <c r="A39" s="131" t="s">
        <v>407</v>
      </c>
      <c r="B39" s="105">
        <v>-8.1304569875000006</v>
      </c>
      <c r="C39" s="105">
        <v>-6.369150319300001</v>
      </c>
      <c r="D39" s="105">
        <v>-3.6904529572000087</v>
      </c>
      <c r="E39" s="105">
        <v>-5.2432159138560053</v>
      </c>
      <c r="F39" s="166">
        <v>-2.3255252413299985</v>
      </c>
      <c r="G39" s="166">
        <v>-2.2480461386700057</v>
      </c>
      <c r="H39" s="166">
        <v>0</v>
      </c>
      <c r="I39" s="166">
        <v>7.5783877599999911</v>
      </c>
      <c r="J39" s="330">
        <v>-0.97241299999999953</v>
      </c>
      <c r="K39" s="330">
        <v>-1.648427999999992</v>
      </c>
      <c r="L39" s="330">
        <v>0</v>
      </c>
      <c r="M39" s="330"/>
      <c r="O39" s="572"/>
    </row>
    <row r="40" spans="1:15" ht="15" customHeight="1">
      <c r="A40" s="131" t="s">
        <v>408</v>
      </c>
      <c r="B40" s="105">
        <v>-0.91888255000000008</v>
      </c>
      <c r="C40" s="105">
        <v>-124.06626390999999</v>
      </c>
      <c r="D40" s="105">
        <v>-12.691474750000012</v>
      </c>
      <c r="E40" s="105">
        <v>9.0923419192000097</v>
      </c>
      <c r="F40" s="166">
        <v>-14.01244398</v>
      </c>
      <c r="G40" s="166">
        <v>-3.3825112715999985</v>
      </c>
      <c r="H40" s="166">
        <v>-27.492639162799993</v>
      </c>
      <c r="I40" s="166">
        <v>-38.088497343375003</v>
      </c>
      <c r="J40" s="330">
        <v>-8.5732525500000012</v>
      </c>
      <c r="K40" s="330">
        <v>-28.731675000000003</v>
      </c>
      <c r="L40" s="330">
        <v>-16.214529996751992</v>
      </c>
      <c r="M40" s="330"/>
      <c r="O40" s="572"/>
    </row>
    <row r="41" spans="1:15" ht="15" customHeight="1">
      <c r="A41" s="131" t="s">
        <v>410</v>
      </c>
      <c r="B41" s="105">
        <v>16.909999999999741</v>
      </c>
      <c r="C41" s="105">
        <v>-6.1999999999727606E-2</v>
      </c>
      <c r="D41" s="105">
        <v>-0.12499999999994316</v>
      </c>
      <c r="E41" s="105">
        <v>13.576999999999884</v>
      </c>
      <c r="F41" s="166">
        <v>0</v>
      </c>
      <c r="G41" s="166">
        <v>0</v>
      </c>
      <c r="H41" s="166">
        <v>0</v>
      </c>
      <c r="I41" s="166">
        <v>0</v>
      </c>
      <c r="J41" s="330">
        <v>0</v>
      </c>
      <c r="K41" s="330">
        <v>0</v>
      </c>
      <c r="L41" s="330">
        <v>0</v>
      </c>
      <c r="M41" s="330"/>
      <c r="O41" s="572"/>
    </row>
    <row r="42" spans="1:15" ht="18" customHeight="1">
      <c r="A42" s="132" t="s">
        <v>547</v>
      </c>
      <c r="B42" s="106">
        <v>-292.99745821807892</v>
      </c>
      <c r="C42" s="106">
        <v>-208.63320856030708</v>
      </c>
      <c r="D42" s="106">
        <v>-150.78870506023378</v>
      </c>
      <c r="E42" s="106">
        <v>-209.87282229211223</v>
      </c>
      <c r="F42" s="167">
        <v>-41.358296024346302</v>
      </c>
      <c r="G42" s="167">
        <v>-119.61593017742776</v>
      </c>
      <c r="H42" s="167">
        <v>-214.10380544975982</v>
      </c>
      <c r="I42" s="167">
        <v>-106.18663367937813</v>
      </c>
      <c r="J42" s="331">
        <v>-622.88942316144539</v>
      </c>
      <c r="K42" s="331">
        <v>-269.29322160442302</v>
      </c>
      <c r="L42" s="331">
        <v>-58.474734973302475</v>
      </c>
      <c r="M42" s="331"/>
      <c r="O42" s="572"/>
    </row>
    <row r="43" spans="1:15" ht="15" customHeight="1">
      <c r="A43" s="224"/>
      <c r="B43" s="105"/>
      <c r="C43" s="105"/>
      <c r="D43" s="105"/>
      <c r="E43" s="105"/>
      <c r="F43" s="225"/>
      <c r="G43" s="225"/>
      <c r="H43" s="225"/>
      <c r="I43" s="225"/>
      <c r="J43" s="337"/>
      <c r="K43" s="337"/>
      <c r="L43" s="337"/>
      <c r="M43" s="337"/>
      <c r="O43" s="572"/>
    </row>
    <row r="44" spans="1:15" ht="18" customHeight="1">
      <c r="A44" s="138" t="s">
        <v>558</v>
      </c>
      <c r="B44" s="426">
        <v>-2.0195340000000002</v>
      </c>
      <c r="C44" s="426">
        <v>-2.0195340000000002</v>
      </c>
      <c r="D44" s="426">
        <v>78.254801</v>
      </c>
      <c r="E44" s="426">
        <v>13.810177969999998</v>
      </c>
      <c r="F44" s="168">
        <v>-1.97559</v>
      </c>
      <c r="G44" s="168">
        <v>-1.9805899999999999</v>
      </c>
      <c r="H44" s="168">
        <v>-1.9755900000000004</v>
      </c>
      <c r="I44" s="168">
        <v>27.575712500000002</v>
      </c>
      <c r="J44" s="332">
        <v>-2.2516519199999996</v>
      </c>
      <c r="K44" s="332">
        <v>0.52204905999999962</v>
      </c>
      <c r="L44" s="332">
        <v>-1.6817547539999991</v>
      </c>
      <c r="M44" s="332"/>
      <c r="O44" s="572"/>
    </row>
    <row r="45" spans="1:15" ht="18" customHeight="1">
      <c r="A45" s="134" t="s">
        <v>59</v>
      </c>
      <c r="B45" s="106">
        <v>2585.5885675297418</v>
      </c>
      <c r="C45" s="106">
        <v>-195.67059563965768</v>
      </c>
      <c r="D45" s="106">
        <v>-100.49493441713548</v>
      </c>
      <c r="E45" s="106">
        <v>-295.16922969329949</v>
      </c>
      <c r="F45" s="167">
        <v>-38.398449470255301</v>
      </c>
      <c r="G45" s="167">
        <v>-158.80964688114085</v>
      </c>
      <c r="H45" s="167">
        <v>-417.50819865397904</v>
      </c>
      <c r="I45" s="167">
        <v>-257.22662510100315</v>
      </c>
      <c r="J45" s="331">
        <v>-690.83201975291263</v>
      </c>
      <c r="K45" s="331">
        <v>-286.59423003382426</v>
      </c>
      <c r="L45" s="331">
        <v>-76.093616283988013</v>
      </c>
      <c r="M45" s="331"/>
      <c r="O45" s="572"/>
    </row>
    <row r="46" spans="1:15" ht="15" customHeight="1">
      <c r="A46" s="93"/>
      <c r="B46" s="93"/>
      <c r="C46" s="93"/>
      <c r="D46" s="93"/>
      <c r="E46" s="93"/>
      <c r="F46" s="93"/>
      <c r="G46" s="93"/>
      <c r="H46" s="93"/>
      <c r="I46" s="93"/>
      <c r="J46" s="93"/>
      <c r="K46" s="93"/>
      <c r="L46" s="93"/>
      <c r="M46" s="93"/>
      <c r="O46" s="572"/>
    </row>
    <row r="47" spans="1:15" ht="15" customHeight="1" thickBot="1">
      <c r="A47" s="93"/>
      <c r="B47" s="93"/>
      <c r="C47" s="93"/>
      <c r="D47" s="93"/>
      <c r="E47" s="93"/>
      <c r="F47" s="93"/>
      <c r="G47" s="93"/>
      <c r="H47" s="93"/>
      <c r="I47" s="93"/>
      <c r="J47" s="93"/>
      <c r="K47" s="93"/>
      <c r="L47" s="93"/>
      <c r="M47" s="93"/>
      <c r="O47" s="572"/>
    </row>
    <row r="48" spans="1:15" ht="15" customHeight="1" thickBot="1">
      <c r="A48" s="78" t="s">
        <v>33</v>
      </c>
      <c r="B48" s="576">
        <v>2014</v>
      </c>
      <c r="C48" s="577"/>
      <c r="D48" s="577"/>
      <c r="E48" s="578"/>
      <c r="F48" s="579">
        <v>2015</v>
      </c>
      <c r="G48" s="580"/>
      <c r="H48" s="580"/>
      <c r="I48" s="581"/>
      <c r="J48" s="582">
        <v>2016</v>
      </c>
      <c r="K48" s="583"/>
      <c r="L48" s="583"/>
      <c r="M48" s="583"/>
      <c r="O48" s="572"/>
    </row>
    <row r="49" spans="1:15" ht="15" customHeight="1" thickBot="1">
      <c r="A49" s="79" t="s">
        <v>527</v>
      </c>
      <c r="B49" s="290" t="s">
        <v>510</v>
      </c>
      <c r="C49" s="290" t="s">
        <v>511</v>
      </c>
      <c r="D49" s="290" t="s">
        <v>513</v>
      </c>
      <c r="E49" s="290" t="s">
        <v>514</v>
      </c>
      <c r="F49" s="311" t="s">
        <v>510</v>
      </c>
      <c r="G49" s="311" t="s">
        <v>511</v>
      </c>
      <c r="H49" s="311" t="s">
        <v>513</v>
      </c>
      <c r="I49" s="311" t="s">
        <v>514</v>
      </c>
      <c r="J49" s="237" t="s">
        <v>510</v>
      </c>
      <c r="K49" s="237" t="s">
        <v>511</v>
      </c>
      <c r="L49" s="237" t="s">
        <v>513</v>
      </c>
      <c r="M49" s="237" t="s">
        <v>514</v>
      </c>
      <c r="O49" s="572"/>
    </row>
    <row r="50" spans="1:15" ht="15" customHeight="1">
      <c r="A50" s="224" t="s">
        <v>43</v>
      </c>
      <c r="B50" s="135"/>
      <c r="C50" s="135"/>
      <c r="D50" s="135"/>
      <c r="E50" s="135"/>
      <c r="F50" s="180"/>
      <c r="G50" s="180"/>
      <c r="H50" s="180"/>
      <c r="I50" s="180"/>
      <c r="J50" s="355"/>
      <c r="K50" s="355"/>
      <c r="L50" s="355"/>
      <c r="M50" s="355"/>
      <c r="O50" s="572"/>
    </row>
    <row r="51" spans="1:15" ht="15" customHeight="1">
      <c r="A51" s="83" t="s">
        <v>47</v>
      </c>
      <c r="B51" s="105">
        <v>-8.7751659999999987</v>
      </c>
      <c r="C51" s="105">
        <v>0</v>
      </c>
      <c r="D51" s="105">
        <v>0</v>
      </c>
      <c r="E51" s="105">
        <v>0</v>
      </c>
      <c r="F51" s="166">
        <v>-13.554500000000001</v>
      </c>
      <c r="G51" s="166">
        <v>0</v>
      </c>
      <c r="H51" s="166">
        <v>0</v>
      </c>
      <c r="I51" s="166">
        <v>0</v>
      </c>
      <c r="J51" s="330">
        <v>0</v>
      </c>
      <c r="K51" s="330">
        <v>0</v>
      </c>
      <c r="L51" s="330">
        <v>0</v>
      </c>
      <c r="M51" s="330"/>
      <c r="O51" s="572"/>
    </row>
    <row r="52" spans="1:15" ht="15" customHeight="1">
      <c r="A52" s="83" t="s">
        <v>23</v>
      </c>
      <c r="B52" s="105">
        <v>0</v>
      </c>
      <c r="C52" s="105">
        <v>0</v>
      </c>
      <c r="D52" s="105">
        <v>0</v>
      </c>
      <c r="E52" s="105">
        <v>0</v>
      </c>
      <c r="F52" s="166">
        <v>0</v>
      </c>
      <c r="G52" s="166">
        <v>0</v>
      </c>
      <c r="H52" s="166">
        <v>0</v>
      </c>
      <c r="I52" s="166">
        <v>0</v>
      </c>
      <c r="J52" s="330">
        <v>0</v>
      </c>
      <c r="K52" s="330">
        <v>0</v>
      </c>
      <c r="L52" s="330">
        <v>0</v>
      </c>
      <c r="M52" s="330"/>
      <c r="O52" s="572"/>
    </row>
    <row r="53" spans="1:15" ht="15" customHeight="1">
      <c r="A53" s="83" t="s">
        <v>13</v>
      </c>
      <c r="B53" s="105">
        <v>0</v>
      </c>
      <c r="C53" s="105">
        <v>0</v>
      </c>
      <c r="D53" s="105">
        <v>0</v>
      </c>
      <c r="E53" s="105">
        <v>0</v>
      </c>
      <c r="F53" s="166">
        <v>0</v>
      </c>
      <c r="G53" s="166">
        <v>0</v>
      </c>
      <c r="H53" s="166">
        <v>0</v>
      </c>
      <c r="I53" s="166">
        <v>-2142.6080000000002</v>
      </c>
      <c r="J53" s="330">
        <v>0</v>
      </c>
      <c r="K53" s="330">
        <v>0</v>
      </c>
      <c r="L53" s="330">
        <v>0</v>
      </c>
      <c r="M53" s="330"/>
      <c r="O53" s="572"/>
    </row>
    <row r="54" spans="1:15" ht="15" customHeight="1">
      <c r="A54" s="83" t="s">
        <v>17</v>
      </c>
      <c r="B54" s="105">
        <v>0</v>
      </c>
      <c r="C54" s="105">
        <v>0</v>
      </c>
      <c r="D54" s="105">
        <v>0</v>
      </c>
      <c r="E54" s="105">
        <v>0</v>
      </c>
      <c r="F54" s="166">
        <v>0</v>
      </c>
      <c r="G54" s="166">
        <v>0</v>
      </c>
      <c r="H54" s="166">
        <v>0</v>
      </c>
      <c r="I54" s="166">
        <v>0</v>
      </c>
      <c r="J54" s="330">
        <v>0</v>
      </c>
      <c r="K54" s="330">
        <v>0</v>
      </c>
      <c r="L54" s="330">
        <v>0</v>
      </c>
      <c r="M54" s="330"/>
      <c r="O54" s="572"/>
    </row>
    <row r="55" spans="1:15" ht="15" customHeight="1">
      <c r="A55" s="83" t="s">
        <v>609</v>
      </c>
      <c r="B55" s="105">
        <v>0</v>
      </c>
      <c r="C55" s="105">
        <v>0</v>
      </c>
      <c r="D55" s="105">
        <v>0</v>
      </c>
      <c r="E55" s="105">
        <v>0</v>
      </c>
      <c r="F55" s="166">
        <v>0</v>
      </c>
      <c r="G55" s="166">
        <v>0</v>
      </c>
      <c r="H55" s="166">
        <v>0</v>
      </c>
      <c r="I55" s="166">
        <v>0</v>
      </c>
      <c r="J55" s="330">
        <v>0</v>
      </c>
      <c r="K55" s="330">
        <v>0</v>
      </c>
      <c r="L55" s="330">
        <v>0</v>
      </c>
      <c r="M55" s="330"/>
      <c r="O55" s="572"/>
    </row>
    <row r="56" spans="1:15" ht="15" customHeight="1">
      <c r="A56" s="104" t="s">
        <v>620</v>
      </c>
      <c r="B56" s="105">
        <v>0</v>
      </c>
      <c r="C56" s="105">
        <v>0</v>
      </c>
      <c r="D56" s="105">
        <v>0</v>
      </c>
      <c r="E56" s="105">
        <v>0</v>
      </c>
      <c r="F56" s="166">
        <v>0</v>
      </c>
      <c r="G56" s="166">
        <v>0</v>
      </c>
      <c r="H56" s="166">
        <v>0</v>
      </c>
      <c r="I56" s="166">
        <v>0</v>
      </c>
      <c r="J56" s="330">
        <v>0</v>
      </c>
      <c r="K56" s="330">
        <v>0</v>
      </c>
      <c r="L56" s="330">
        <v>0</v>
      </c>
      <c r="M56" s="330"/>
      <c r="O56" s="572"/>
    </row>
    <row r="57" spans="1:15" ht="15" customHeight="1">
      <c r="A57" s="83" t="s">
        <v>637</v>
      </c>
      <c r="B57" s="105">
        <v>0</v>
      </c>
      <c r="C57" s="105">
        <v>0</v>
      </c>
      <c r="D57" s="105">
        <v>0</v>
      </c>
      <c r="E57" s="105">
        <v>0</v>
      </c>
      <c r="F57" s="166">
        <v>0</v>
      </c>
      <c r="G57" s="166">
        <v>0</v>
      </c>
      <c r="H57" s="166">
        <v>0</v>
      </c>
      <c r="I57" s="166">
        <v>0</v>
      </c>
      <c r="J57" s="330">
        <v>0</v>
      </c>
      <c r="K57" s="330">
        <v>0</v>
      </c>
      <c r="L57" s="330">
        <v>0</v>
      </c>
      <c r="M57" s="330"/>
      <c r="O57" s="572"/>
    </row>
    <row r="58" spans="1:15" ht="15" customHeight="1">
      <c r="A58" s="83" t="s">
        <v>646</v>
      </c>
      <c r="B58" s="105">
        <v>0</v>
      </c>
      <c r="C58" s="105">
        <v>0</v>
      </c>
      <c r="D58" s="105">
        <v>0</v>
      </c>
      <c r="E58" s="105">
        <v>0</v>
      </c>
      <c r="F58" s="166">
        <v>0</v>
      </c>
      <c r="G58" s="166">
        <v>0</v>
      </c>
      <c r="H58" s="166">
        <v>0</v>
      </c>
      <c r="I58" s="166">
        <v>28.694279731095001</v>
      </c>
      <c r="J58" s="330">
        <v>0</v>
      </c>
      <c r="K58" s="330">
        <v>0</v>
      </c>
      <c r="L58" s="330">
        <v>0</v>
      </c>
      <c r="M58" s="330"/>
      <c r="O58" s="572"/>
    </row>
    <row r="59" spans="1:15" ht="15" customHeight="1">
      <c r="A59" s="83" t="s">
        <v>494</v>
      </c>
      <c r="B59" s="105">
        <v>0</v>
      </c>
      <c r="C59" s="105">
        <v>0</v>
      </c>
      <c r="D59" s="105">
        <v>0</v>
      </c>
      <c r="E59" s="105">
        <v>0</v>
      </c>
      <c r="F59" s="166">
        <v>0</v>
      </c>
      <c r="G59" s="166">
        <v>0</v>
      </c>
      <c r="H59" s="166">
        <v>0</v>
      </c>
      <c r="I59" s="166">
        <v>0</v>
      </c>
      <c r="J59" s="330">
        <v>0</v>
      </c>
      <c r="K59" s="330">
        <v>0</v>
      </c>
      <c r="L59" s="330">
        <v>0</v>
      </c>
      <c r="M59" s="330"/>
      <c r="O59" s="572"/>
    </row>
    <row r="60" spans="1:15" ht="15" customHeight="1">
      <c r="A60" s="104" t="s">
        <v>26</v>
      </c>
      <c r="B60" s="105">
        <v>0</v>
      </c>
      <c r="C60" s="105">
        <v>0</v>
      </c>
      <c r="D60" s="105">
        <v>0</v>
      </c>
      <c r="E60" s="105">
        <v>0</v>
      </c>
      <c r="F60" s="166">
        <v>0</v>
      </c>
      <c r="G60" s="166">
        <v>0</v>
      </c>
      <c r="H60" s="166">
        <v>0</v>
      </c>
      <c r="I60" s="166">
        <v>0</v>
      </c>
      <c r="J60" s="330">
        <v>0</v>
      </c>
      <c r="K60" s="330">
        <v>0</v>
      </c>
      <c r="L60" s="330">
        <v>0</v>
      </c>
      <c r="M60" s="330"/>
      <c r="O60" s="572"/>
    </row>
    <row r="61" spans="1:15" ht="15" customHeight="1">
      <c r="A61" s="104" t="s">
        <v>45</v>
      </c>
      <c r="B61" s="105">
        <v>0</v>
      </c>
      <c r="C61" s="105">
        <v>0</v>
      </c>
      <c r="D61" s="105">
        <v>0</v>
      </c>
      <c r="E61" s="105">
        <v>0</v>
      </c>
      <c r="F61" s="166">
        <v>0</v>
      </c>
      <c r="G61" s="166">
        <v>-6.6166209900969593</v>
      </c>
      <c r="H61" s="166">
        <v>-58.174454165099142</v>
      </c>
      <c r="I61" s="166">
        <v>15.131150953952506</v>
      </c>
      <c r="J61" s="330">
        <v>-2301.6501733059299</v>
      </c>
      <c r="K61" s="330">
        <v>-224.46445085189043</v>
      </c>
      <c r="L61" s="330">
        <v>-4142.6606846831492</v>
      </c>
      <c r="M61" s="330"/>
      <c r="O61" s="572"/>
    </row>
    <row r="62" spans="1:15" ht="15" customHeight="1">
      <c r="A62" s="104" t="s">
        <v>613</v>
      </c>
      <c r="B62" s="105">
        <v>0</v>
      </c>
      <c r="C62" s="105">
        <v>0</v>
      </c>
      <c r="D62" s="105">
        <v>0</v>
      </c>
      <c r="E62" s="105">
        <v>0</v>
      </c>
      <c r="F62" s="166">
        <v>0</v>
      </c>
      <c r="G62" s="166">
        <v>0</v>
      </c>
      <c r="H62" s="166">
        <v>0</v>
      </c>
      <c r="I62" s="166">
        <v>0</v>
      </c>
      <c r="J62" s="330">
        <v>0</v>
      </c>
      <c r="K62" s="330">
        <v>0</v>
      </c>
      <c r="L62" s="330">
        <v>0</v>
      </c>
      <c r="M62" s="330"/>
      <c r="O62" s="572"/>
    </row>
    <row r="63" spans="1:15" ht="15" customHeight="1">
      <c r="A63" s="131" t="s">
        <v>380</v>
      </c>
      <c r="B63" s="105">
        <v>0</v>
      </c>
      <c r="C63" s="105">
        <v>0</v>
      </c>
      <c r="D63" s="105">
        <v>0</v>
      </c>
      <c r="E63" s="105">
        <v>0</v>
      </c>
      <c r="F63" s="166">
        <v>0</v>
      </c>
      <c r="G63" s="166">
        <v>0</v>
      </c>
      <c r="H63" s="166">
        <v>0</v>
      </c>
      <c r="I63" s="166">
        <v>0</v>
      </c>
      <c r="J63" s="330">
        <v>-128.41587200000001</v>
      </c>
      <c r="K63" s="330">
        <v>1.39946664</v>
      </c>
      <c r="L63" s="330">
        <v>0.63031131999998991</v>
      </c>
      <c r="M63" s="330"/>
      <c r="O63" s="572"/>
    </row>
    <row r="64" spans="1:15" ht="15" customHeight="1">
      <c r="A64" s="131" t="s">
        <v>407</v>
      </c>
      <c r="B64" s="105">
        <v>0</v>
      </c>
      <c r="C64" s="105">
        <v>0</v>
      </c>
      <c r="D64" s="105">
        <v>-16.703725385272001</v>
      </c>
      <c r="E64" s="105">
        <v>-8.3905503324920012</v>
      </c>
      <c r="F64" s="166">
        <v>0</v>
      </c>
      <c r="G64" s="166">
        <v>0</v>
      </c>
      <c r="H64" s="166">
        <v>0</v>
      </c>
      <c r="I64" s="166">
        <v>-3.8607439794427703</v>
      </c>
      <c r="J64" s="330">
        <v>0</v>
      </c>
      <c r="K64" s="330">
        <v>0</v>
      </c>
      <c r="L64" s="330">
        <v>-0.77688099946591271</v>
      </c>
      <c r="M64" s="330"/>
      <c r="O64" s="572"/>
    </row>
    <row r="65" spans="1:15" ht="15" customHeight="1">
      <c r="A65" s="131" t="s">
        <v>408</v>
      </c>
      <c r="B65" s="105">
        <v>0</v>
      </c>
      <c r="C65" s="105">
        <v>0</v>
      </c>
      <c r="D65" s="105">
        <v>0</v>
      </c>
      <c r="E65" s="105">
        <v>0</v>
      </c>
      <c r="F65" s="166">
        <v>0</v>
      </c>
      <c r="G65" s="166">
        <v>0</v>
      </c>
      <c r="H65" s="166">
        <v>0</v>
      </c>
      <c r="I65" s="166">
        <v>0</v>
      </c>
      <c r="J65" s="330">
        <v>0</v>
      </c>
      <c r="K65" s="330">
        <v>0</v>
      </c>
      <c r="L65" s="330">
        <v>-0.75465899946591286</v>
      </c>
      <c r="M65" s="330"/>
      <c r="O65" s="572"/>
    </row>
    <row r="66" spans="1:15" ht="15" customHeight="1">
      <c r="A66" s="131" t="s">
        <v>410</v>
      </c>
      <c r="B66" s="105">
        <v>0</v>
      </c>
      <c r="C66" s="105">
        <v>0</v>
      </c>
      <c r="D66" s="105">
        <v>0</v>
      </c>
      <c r="E66" s="105">
        <v>0</v>
      </c>
      <c r="F66" s="166">
        <v>0</v>
      </c>
      <c r="G66" s="166">
        <v>0</v>
      </c>
      <c r="H66" s="166">
        <v>0</v>
      </c>
      <c r="I66" s="166">
        <v>0</v>
      </c>
      <c r="J66" s="330">
        <v>0</v>
      </c>
      <c r="K66" s="330">
        <v>0</v>
      </c>
      <c r="L66" s="330">
        <v>0</v>
      </c>
      <c r="M66" s="330"/>
      <c r="O66" s="572"/>
    </row>
    <row r="67" spans="1:15" ht="18" customHeight="1">
      <c r="A67" s="132" t="s">
        <v>41</v>
      </c>
      <c r="B67" s="106">
        <v>-8.7468157040711745</v>
      </c>
      <c r="C67" s="106">
        <v>0</v>
      </c>
      <c r="D67" s="106">
        <v>-16.858579113564012</v>
      </c>
      <c r="E67" s="106">
        <v>-8.7366123211431237</v>
      </c>
      <c r="F67" s="167">
        <v>-13.211794894138979</v>
      </c>
      <c r="G67" s="167">
        <v>-6.6174445167024771</v>
      </c>
      <c r="H67" s="167">
        <v>-58.318499862760717</v>
      </c>
      <c r="I67" s="167">
        <v>-2102.6439334481302</v>
      </c>
      <c r="J67" s="331">
        <v>-2430.0993799389457</v>
      </c>
      <c r="K67" s="331">
        <v>-223.09831780533568</v>
      </c>
      <c r="L67" s="331">
        <v>-4143.5619149347458</v>
      </c>
      <c r="M67" s="331"/>
      <c r="O67" s="572"/>
    </row>
    <row r="68" spans="1:15" ht="15" customHeight="1">
      <c r="A68" s="136"/>
      <c r="B68" s="105"/>
      <c r="C68" s="105"/>
      <c r="D68" s="105"/>
      <c r="E68" s="105"/>
      <c r="F68" s="181"/>
      <c r="G68" s="181"/>
      <c r="H68" s="181"/>
      <c r="I68" s="181"/>
      <c r="J68" s="356"/>
      <c r="K68" s="356"/>
      <c r="L68" s="356"/>
      <c r="M68" s="356"/>
      <c r="O68" s="572"/>
    </row>
    <row r="69" spans="1:15" ht="15" customHeight="1">
      <c r="A69" s="137" t="s">
        <v>635</v>
      </c>
      <c r="B69" s="105"/>
      <c r="C69" s="105"/>
      <c r="D69" s="105"/>
      <c r="E69" s="105"/>
      <c r="F69" s="181"/>
      <c r="G69" s="181"/>
      <c r="H69" s="181"/>
      <c r="I69" s="181"/>
      <c r="J69" s="356"/>
      <c r="K69" s="356"/>
      <c r="L69" s="356"/>
      <c r="M69" s="356"/>
      <c r="O69" s="572"/>
    </row>
    <row r="70" spans="1:15" ht="15" customHeight="1">
      <c r="A70" s="133" t="s">
        <v>542</v>
      </c>
      <c r="B70" s="105">
        <v>12.745873</v>
      </c>
      <c r="C70" s="105">
        <v>-77.914337799999998</v>
      </c>
      <c r="D70" s="105">
        <v>3.8098096000000012</v>
      </c>
      <c r="E70" s="105">
        <v>0</v>
      </c>
      <c r="F70" s="182">
        <v>224.29972799999987</v>
      </c>
      <c r="G70" s="182">
        <v>0</v>
      </c>
      <c r="H70" s="182">
        <v>33.410623870000023</v>
      </c>
      <c r="I70" s="182">
        <v>-7.0157747099997891</v>
      </c>
      <c r="J70" s="357">
        <v>0</v>
      </c>
      <c r="K70" s="357">
        <v>-70.551999999999964</v>
      </c>
      <c r="L70" s="357">
        <v>-3237.7889173470408</v>
      </c>
      <c r="M70" s="357"/>
      <c r="O70" s="572"/>
    </row>
    <row r="71" spans="1:15" ht="15" customHeight="1">
      <c r="A71" s="131" t="s">
        <v>43</v>
      </c>
      <c r="B71" s="105">
        <v>0</v>
      </c>
      <c r="C71" s="105">
        <v>0</v>
      </c>
      <c r="D71" s="105">
        <v>-68.405000000000001</v>
      </c>
      <c r="E71" s="105">
        <v>154.62296067999941</v>
      </c>
      <c r="F71" s="182">
        <v>-4.4622830000000002</v>
      </c>
      <c r="G71" s="182">
        <v>0</v>
      </c>
      <c r="H71" s="182">
        <v>-5394.7831260345993</v>
      </c>
      <c r="I71" s="182">
        <v>-165.77804806800032</v>
      </c>
      <c r="J71" s="357">
        <v>4034.8626938812799</v>
      </c>
      <c r="K71" s="357">
        <v>-2541.6774273487599</v>
      </c>
      <c r="L71" s="357">
        <v>-2405.5989361176798</v>
      </c>
      <c r="M71" s="357"/>
      <c r="O71" s="572"/>
    </row>
    <row r="72" spans="1:15" ht="18" customHeight="1">
      <c r="A72" s="132" t="s">
        <v>636</v>
      </c>
      <c r="B72" s="106">
        <v>12.746193999999999</v>
      </c>
      <c r="C72" s="106">
        <v>-77.914337799999998</v>
      </c>
      <c r="D72" s="106">
        <v>-64.595190400000007</v>
      </c>
      <c r="E72" s="106">
        <v>154.63675487999942</v>
      </c>
      <c r="F72" s="167">
        <v>219.83744499999986</v>
      </c>
      <c r="G72" s="167">
        <v>0</v>
      </c>
      <c r="H72" s="167">
        <v>-5361.3725021645996</v>
      </c>
      <c r="I72" s="167">
        <v>-172.79382277799959</v>
      </c>
      <c r="J72" s="331">
        <v>4034.86269387128</v>
      </c>
      <c r="K72" s="331">
        <v>-2612.2294273487601</v>
      </c>
      <c r="L72" s="331">
        <v>-5643.387853464721</v>
      </c>
      <c r="M72" s="331"/>
      <c r="O72" s="572"/>
    </row>
    <row r="73" spans="1:15" ht="15" customHeight="1">
      <c r="A73" s="136"/>
      <c r="B73" s="105"/>
      <c r="C73" s="105"/>
      <c r="D73" s="105"/>
      <c r="E73" s="105"/>
      <c r="F73" s="181"/>
      <c r="G73" s="181"/>
      <c r="H73" s="181"/>
      <c r="I73" s="181"/>
      <c r="J73" s="356"/>
      <c r="K73" s="356"/>
      <c r="L73" s="356"/>
      <c r="M73" s="356"/>
      <c r="O73" s="572"/>
    </row>
    <row r="74" spans="1:15" ht="18" customHeight="1">
      <c r="A74" s="139" t="s">
        <v>569</v>
      </c>
      <c r="B74" s="109">
        <v>19.160119149999598</v>
      </c>
      <c r="C74" s="109">
        <v>0.81954475160030071</v>
      </c>
      <c r="D74" s="109">
        <v>10.396294526400602</v>
      </c>
      <c r="E74" s="109">
        <v>10.004687173708902</v>
      </c>
      <c r="F74" s="183">
        <v>-1.5173056845016502</v>
      </c>
      <c r="G74" s="183">
        <v>1.7324580561006191</v>
      </c>
      <c r="H74" s="183">
        <v>0</v>
      </c>
      <c r="I74" s="183">
        <v>0</v>
      </c>
      <c r="J74" s="358">
        <v>1.9015709144001001</v>
      </c>
      <c r="K74" s="358">
        <v>2.0818240142601896</v>
      </c>
      <c r="L74" s="358">
        <v>-9.1977982046537505</v>
      </c>
      <c r="M74" s="358"/>
      <c r="O74" s="572"/>
    </row>
    <row r="75" spans="1:15">
      <c r="A75" s="151"/>
    </row>
    <row r="76" spans="1:15">
      <c r="A76" s="152"/>
    </row>
  </sheetData>
  <mergeCells count="6">
    <mergeCell ref="J4:M4"/>
    <mergeCell ref="J48:M48"/>
    <mergeCell ref="F4:I4"/>
    <mergeCell ref="F48:I48"/>
    <mergeCell ref="B4:E4"/>
    <mergeCell ref="B48:E48"/>
  </mergeCells>
  <phoneticPr fontId="16" type="noConversion"/>
  <pageMargins left="0.78740157499999996" right="0.78740157499999996" top="0.43" bottom="0.22" header="0.36" footer="0.17"/>
  <pageSetup paperSize="9" scale="51" orientation="landscape" r:id="rId1"/>
  <headerFooter alignWithMargins="0"/>
  <rowBreaks count="1" manualBreakCount="1">
    <brk id="45"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2" enableFormatConditionsCalculation="0">
    <tabColor theme="2" tint="-0.249977111117893"/>
    <pageSetUpPr fitToPage="1"/>
  </sheetPr>
  <dimension ref="A1:O33"/>
  <sheetViews>
    <sheetView showGridLines="0" view="pageBreakPreview" zoomScale="90" zoomScaleNormal="100" zoomScaleSheetLayoutView="90" workbookViewId="0">
      <selection activeCell="F54" sqref="F54"/>
    </sheetView>
  </sheetViews>
  <sheetFormatPr defaultColWidth="9.140625" defaultRowHeight="12.75"/>
  <cols>
    <col min="1" max="1" width="76.7109375" customWidth="1"/>
    <col min="2" max="13" width="13.7109375" customWidth="1"/>
  </cols>
  <sheetData>
    <row r="1" spans="1:15" ht="15" customHeight="1"/>
    <row r="2" spans="1:15" ht="15" customHeight="1"/>
    <row r="3" spans="1:15" ht="15" customHeight="1" thickBot="1">
      <c r="A3" s="92" t="s">
        <v>68</v>
      </c>
      <c r="B3" s="93"/>
      <c r="C3" s="93"/>
      <c r="D3" s="93"/>
      <c r="E3" s="93"/>
      <c r="F3" s="93"/>
      <c r="G3" s="93"/>
      <c r="H3" s="93"/>
      <c r="I3" s="93"/>
      <c r="J3" s="93"/>
      <c r="K3" s="93"/>
      <c r="L3" s="93"/>
      <c r="M3" s="93"/>
    </row>
    <row r="4" spans="1:15" ht="15" customHeight="1" thickBot="1">
      <c r="A4" s="78" t="s">
        <v>33</v>
      </c>
      <c r="B4" s="576">
        <v>2014</v>
      </c>
      <c r="C4" s="577"/>
      <c r="D4" s="577"/>
      <c r="E4" s="578"/>
      <c r="F4" s="579">
        <v>2015</v>
      </c>
      <c r="G4" s="580"/>
      <c r="H4" s="580"/>
      <c r="I4" s="581"/>
      <c r="J4" s="582">
        <v>2016</v>
      </c>
      <c r="K4" s="583"/>
      <c r="L4" s="583"/>
      <c r="M4" s="583"/>
    </row>
    <row r="5" spans="1:15" ht="15" customHeight="1" thickBot="1">
      <c r="A5" s="79" t="s">
        <v>527</v>
      </c>
      <c r="B5" s="294" t="s">
        <v>510</v>
      </c>
      <c r="C5" s="294" t="s">
        <v>511</v>
      </c>
      <c r="D5" s="294" t="s">
        <v>513</v>
      </c>
      <c r="E5" s="294" t="s">
        <v>514</v>
      </c>
      <c r="F5" s="313" t="s">
        <v>510</v>
      </c>
      <c r="G5" s="313" t="s">
        <v>511</v>
      </c>
      <c r="H5" s="313" t="s">
        <v>513</v>
      </c>
      <c r="I5" s="313" t="s">
        <v>514</v>
      </c>
      <c r="J5" s="295" t="s">
        <v>510</v>
      </c>
      <c r="K5" s="295" t="s">
        <v>511</v>
      </c>
      <c r="L5" s="295" t="s">
        <v>513</v>
      </c>
      <c r="M5" s="295" t="s">
        <v>514</v>
      </c>
    </row>
    <row r="6" spans="1:15" ht="18" customHeight="1">
      <c r="A6" s="391" t="s">
        <v>52</v>
      </c>
      <c r="B6" s="426">
        <v>4598.91728698311</v>
      </c>
      <c r="C6" s="426">
        <v>3194.22104237042</v>
      </c>
      <c r="D6" s="426">
        <v>3559.4781997317705</v>
      </c>
      <c r="E6" s="426">
        <v>1406.2608416721014</v>
      </c>
      <c r="F6" s="178">
        <v>4817.3790641282794</v>
      </c>
      <c r="G6" s="178">
        <v>4327.9582081952922</v>
      </c>
      <c r="H6" s="178">
        <v>-1048.9864619054906</v>
      </c>
      <c r="I6" s="178">
        <v>-1392.844863468822</v>
      </c>
      <c r="J6" s="339">
        <v>5086.3659014523491</v>
      </c>
      <c r="K6" s="339">
        <v>1804.0325509206505</v>
      </c>
      <c r="L6" s="339">
        <v>-3995.8973484780699</v>
      </c>
      <c r="M6" s="339"/>
      <c r="O6" s="229"/>
    </row>
    <row r="7" spans="1:15" s="6" customFormat="1" ht="15" customHeight="1">
      <c r="A7" s="95" t="s">
        <v>564</v>
      </c>
      <c r="B7" s="105">
        <v>-1645.3262563897199</v>
      </c>
      <c r="C7" s="105">
        <v>-1649.4833685328597</v>
      </c>
      <c r="D7" s="105">
        <v>-1846.3137443802102</v>
      </c>
      <c r="E7" s="105">
        <v>-1456.3943654088298</v>
      </c>
      <c r="F7" s="169">
        <v>-1849.57950076107</v>
      </c>
      <c r="G7" s="169">
        <v>-1721.6927067423803</v>
      </c>
      <c r="H7" s="169">
        <v>-1750.6024191006504</v>
      </c>
      <c r="I7" s="169">
        <v>-994.99871380641889</v>
      </c>
      <c r="J7" s="321">
        <v>-1601.1779250909901</v>
      </c>
      <c r="K7" s="321">
        <v>-1769.4091886106396</v>
      </c>
      <c r="L7" s="321">
        <v>-1643.1407411089599</v>
      </c>
      <c r="M7" s="321"/>
      <c r="O7" s="229"/>
    </row>
    <row r="8" spans="1:15" ht="18" customHeight="1">
      <c r="A8" s="100" t="s">
        <v>538</v>
      </c>
      <c r="B8" s="426">
        <v>6244.2435433728306</v>
      </c>
      <c r="C8" s="426">
        <v>4843.7044109032695</v>
      </c>
      <c r="D8" s="426">
        <v>5405.7919441119993</v>
      </c>
      <c r="E8" s="426">
        <v>2862.6552070809048</v>
      </c>
      <c r="F8" s="178">
        <v>6666.9585648893699</v>
      </c>
      <c r="G8" s="178">
        <v>6049.6509149377307</v>
      </c>
      <c r="H8" s="178">
        <v>701.61595719509933</v>
      </c>
      <c r="I8" s="184">
        <v>-397.84614966250047</v>
      </c>
      <c r="J8" s="339">
        <v>6687.5438265433604</v>
      </c>
      <c r="K8" s="339">
        <v>3573.4417395313394</v>
      </c>
      <c r="L8" s="339">
        <v>-2352.7566073691005</v>
      </c>
      <c r="M8" s="339"/>
      <c r="O8" s="229"/>
    </row>
    <row r="9" spans="1:15" s="6" customFormat="1" ht="15" customHeight="1">
      <c r="A9" s="95" t="s">
        <v>563</v>
      </c>
      <c r="B9" s="105">
        <v>-76.224451010110499</v>
      </c>
      <c r="C9" s="105">
        <v>-279.30271289953646</v>
      </c>
      <c r="D9" s="105">
        <v>-576.95531501534902</v>
      </c>
      <c r="E9" s="105">
        <v>-778.66319168328391</v>
      </c>
      <c r="F9" s="169">
        <v>-549.60716141916896</v>
      </c>
      <c r="G9" s="169">
        <v>-594.99632498456094</v>
      </c>
      <c r="H9" s="169">
        <v>-796.53019745579991</v>
      </c>
      <c r="I9" s="169">
        <v>-980.10590918102025</v>
      </c>
      <c r="J9" s="321">
        <v>-1007.51072439294</v>
      </c>
      <c r="K9" s="321">
        <v>-472.62608075616993</v>
      </c>
      <c r="L9" s="321">
        <v>-260.40009378575019</v>
      </c>
      <c r="M9" s="321"/>
      <c r="O9" s="229"/>
    </row>
    <row r="10" spans="1:15" s="6" customFormat="1" ht="15" customHeight="1">
      <c r="A10" s="95" t="s">
        <v>616</v>
      </c>
      <c r="B10" s="105">
        <v>-1836.8326295784798</v>
      </c>
      <c r="C10" s="105">
        <v>-561.93456757385979</v>
      </c>
      <c r="D10" s="105">
        <v>-290.66414971698077</v>
      </c>
      <c r="E10" s="105">
        <v>-1169.6678432691301</v>
      </c>
      <c r="F10" s="169">
        <v>652.77819414433895</v>
      </c>
      <c r="G10" s="169">
        <v>451.66777507517111</v>
      </c>
      <c r="H10" s="169">
        <v>-5089.0102662421905</v>
      </c>
      <c r="I10" s="169">
        <v>-2834.7428483927392</v>
      </c>
      <c r="J10" s="321">
        <v>4174.7821466270207</v>
      </c>
      <c r="K10" s="321">
        <v>-2149.502487382551</v>
      </c>
      <c r="L10" s="321">
        <v>-5259.8207695470301</v>
      </c>
      <c r="M10" s="321"/>
      <c r="O10" s="229"/>
    </row>
    <row r="11" spans="1:15" s="6" customFormat="1" ht="15" customHeight="1">
      <c r="A11" s="115" t="s">
        <v>143</v>
      </c>
      <c r="B11" s="105">
        <v>-3717.9192150808703</v>
      </c>
      <c r="C11" s="105">
        <v>-3735.6746746915096</v>
      </c>
      <c r="D11" s="105">
        <v>-3872.2459602297213</v>
      </c>
      <c r="E11" s="105">
        <v>-4203.5445721538999</v>
      </c>
      <c r="F11" s="169">
        <v>-4179.9011026530297</v>
      </c>
      <c r="G11" s="169">
        <v>-4336.4368758676501</v>
      </c>
      <c r="H11" s="169">
        <v>-4784.6064121966192</v>
      </c>
      <c r="I11" s="169">
        <v>-5082.8970510263989</v>
      </c>
      <c r="J11" s="321">
        <v>-5043.5941431867395</v>
      </c>
      <c r="K11" s="321">
        <v>-4839.6980765395001</v>
      </c>
      <c r="L11" s="321">
        <v>-5073.1140164597618</v>
      </c>
      <c r="M11" s="321"/>
      <c r="O11" s="229"/>
    </row>
    <row r="12" spans="1:15" s="6" customFormat="1" ht="15" customHeight="1">
      <c r="A12" s="115" t="s">
        <v>10</v>
      </c>
      <c r="B12" s="105">
        <v>-8.746814624071181</v>
      </c>
      <c r="C12" s="105">
        <v>0</v>
      </c>
      <c r="D12" s="105">
        <v>-16.858578033564008</v>
      </c>
      <c r="E12" s="105">
        <v>-8.7366112411431018</v>
      </c>
      <c r="F12" s="169">
        <v>-13.211794887162199</v>
      </c>
      <c r="G12" s="169">
        <v>-6.6174445097256971</v>
      </c>
      <c r="H12" s="169">
        <v>-58.246355406354894</v>
      </c>
      <c r="I12" s="169">
        <v>-2102.643687529097</v>
      </c>
      <c r="J12" s="321">
        <v>-2430.0993799394796</v>
      </c>
      <c r="K12" s="321">
        <v>-223.09831780587001</v>
      </c>
      <c r="L12" s="321">
        <v>-4142.8072559352804</v>
      </c>
      <c r="M12" s="321"/>
      <c r="O12" s="229"/>
    </row>
    <row r="13" spans="1:15" ht="18" customHeight="1">
      <c r="A13" s="141" t="s">
        <v>406</v>
      </c>
      <c r="B13" s="107">
        <v>11883.966653666361</v>
      </c>
      <c r="C13" s="107">
        <v>9420.5775951797768</v>
      </c>
      <c r="D13" s="107">
        <v>10162.515947107484</v>
      </c>
      <c r="E13" s="107">
        <v>9023.2674254282465</v>
      </c>
      <c r="F13" s="172">
        <v>10756.900429704401</v>
      </c>
      <c r="G13" s="172">
        <v>10536.033785224463</v>
      </c>
      <c r="H13" s="172">
        <v>11430.009188496078</v>
      </c>
      <c r="I13" s="185">
        <v>10602.543346466889</v>
      </c>
      <c r="J13" s="348">
        <v>10993.9659274355</v>
      </c>
      <c r="K13" s="348">
        <v>11258.366702015388</v>
      </c>
      <c r="L13" s="348">
        <v>12383.385528358849</v>
      </c>
      <c r="M13" s="348"/>
      <c r="O13" s="229"/>
    </row>
    <row r="14" spans="1:15" ht="15" customHeight="1">
      <c r="A14" s="115" t="s">
        <v>628</v>
      </c>
      <c r="B14" s="105">
        <v>2881</v>
      </c>
      <c r="C14" s="105">
        <v>82</v>
      </c>
      <c r="D14" s="105">
        <v>4</v>
      </c>
      <c r="E14" s="105">
        <v>126</v>
      </c>
      <c r="F14" s="169">
        <v>90</v>
      </c>
      <c r="G14" s="169">
        <v>31</v>
      </c>
      <c r="H14" s="169">
        <v>10</v>
      </c>
      <c r="I14" s="169">
        <v>-18</v>
      </c>
      <c r="J14" s="321">
        <v>9</v>
      </c>
      <c r="K14" s="321">
        <v>23.234999999999999</v>
      </c>
      <c r="L14" s="321">
        <v>29.07</v>
      </c>
      <c r="M14" s="321"/>
      <c r="O14" s="229"/>
    </row>
    <row r="15" spans="1:15" ht="15" customHeight="1">
      <c r="A15" s="115" t="s">
        <v>629</v>
      </c>
      <c r="B15" s="105">
        <v>-295</v>
      </c>
      <c r="C15" s="105">
        <v>-278</v>
      </c>
      <c r="D15" s="105">
        <v>-104</v>
      </c>
      <c r="E15" s="105">
        <v>-421</v>
      </c>
      <c r="F15" s="169">
        <v>-128</v>
      </c>
      <c r="G15" s="166">
        <v>-190</v>
      </c>
      <c r="H15" s="169">
        <v>-428</v>
      </c>
      <c r="I15" s="169">
        <v>-239</v>
      </c>
      <c r="J15" s="321">
        <v>-699.83201975293605</v>
      </c>
      <c r="K15" s="321">
        <v>-309.89222787293295</v>
      </c>
      <c r="L15" s="321">
        <v>-105.16361528390087</v>
      </c>
      <c r="M15" s="321"/>
      <c r="O15" s="229"/>
    </row>
    <row r="16" spans="1:15" ht="18" customHeight="1">
      <c r="A16" s="216" t="s">
        <v>634</v>
      </c>
      <c r="B16" s="107">
        <v>9298.3780861366176</v>
      </c>
      <c r="C16" s="107">
        <v>9616.248190819435</v>
      </c>
      <c r="D16" s="107">
        <v>10263.01088152462</v>
      </c>
      <c r="E16" s="107">
        <v>9318.4366551215462</v>
      </c>
      <c r="F16" s="172">
        <v>10795.298879174656</v>
      </c>
      <c r="G16" s="172">
        <v>10694.843432105607</v>
      </c>
      <c r="H16" s="172">
        <v>11847.517387150063</v>
      </c>
      <c r="I16" s="172">
        <v>10859.76997156789</v>
      </c>
      <c r="J16" s="348">
        <v>11684.797947188412</v>
      </c>
      <c r="K16" s="348">
        <v>11544.960932049211</v>
      </c>
      <c r="L16" s="348">
        <v>12459.479144642839</v>
      </c>
      <c r="M16" s="348"/>
      <c r="O16" s="229"/>
    </row>
    <row r="17" spans="1:15" ht="15" customHeight="1">
      <c r="A17" s="115"/>
      <c r="B17" s="105"/>
      <c r="C17" s="105"/>
      <c r="D17" s="105"/>
      <c r="E17" s="105"/>
      <c r="F17" s="217"/>
      <c r="G17" s="217"/>
      <c r="H17" s="217"/>
      <c r="I17" s="217"/>
      <c r="J17" s="359"/>
      <c r="K17" s="359"/>
      <c r="L17" s="359"/>
      <c r="M17" s="359"/>
      <c r="O17" s="229"/>
    </row>
    <row r="18" spans="1:15" ht="18" customHeight="1">
      <c r="A18" s="87" t="s">
        <v>534</v>
      </c>
      <c r="B18" s="426">
        <v>8157.3006239614197</v>
      </c>
      <c r="C18" s="426">
        <v>5684.9416913767809</v>
      </c>
      <c r="D18" s="426">
        <v>6273.4114088442002</v>
      </c>
      <c r="E18" s="426">
        <v>4810.9862420331992</v>
      </c>
      <c r="F18" s="178">
        <v>6563.7875321642105</v>
      </c>
      <c r="G18" s="178">
        <v>6192.9794648470879</v>
      </c>
      <c r="H18" s="178">
        <v>6587.1564208931013</v>
      </c>
      <c r="I18" s="178">
        <v>3417.0026079113995</v>
      </c>
      <c r="J18" s="339">
        <v>3520.2724043092799</v>
      </c>
      <c r="K18" s="339">
        <v>6195.5703076700192</v>
      </c>
      <c r="L18" s="339">
        <v>3167.4642559638014</v>
      </c>
      <c r="M18" s="339"/>
      <c r="O18" s="229"/>
    </row>
    <row r="19" spans="1:15" s="6" customFormat="1" ht="15" customHeight="1">
      <c r="A19" s="114" t="s">
        <v>10</v>
      </c>
      <c r="B19" s="105">
        <v>-8.7468157040711745</v>
      </c>
      <c r="C19" s="105">
        <v>0</v>
      </c>
      <c r="D19" s="105">
        <v>-16.858579113564012</v>
      </c>
      <c r="E19" s="105">
        <v>-8.7366123211431237</v>
      </c>
      <c r="F19" s="169">
        <v>-13.211794894138979</v>
      </c>
      <c r="G19" s="169">
        <v>-6.6174445167024771</v>
      </c>
      <c r="H19" s="169">
        <v>-58.318499862760717</v>
      </c>
      <c r="I19" s="169">
        <v>-2102.6439334481302</v>
      </c>
      <c r="J19" s="321">
        <v>-2430.0993799389457</v>
      </c>
      <c r="K19" s="321">
        <v>-223.09831780533568</v>
      </c>
      <c r="L19" s="321">
        <v>-4143.5619149347458</v>
      </c>
      <c r="M19" s="321"/>
      <c r="O19" s="229"/>
    </row>
    <row r="20" spans="1:15" s="6" customFormat="1" ht="15" customHeight="1">
      <c r="A20" s="115" t="s">
        <v>628</v>
      </c>
      <c r="B20" s="105">
        <v>2881</v>
      </c>
      <c r="C20" s="105">
        <v>82</v>
      </c>
      <c r="D20" s="105">
        <v>4</v>
      </c>
      <c r="E20" s="105">
        <v>126</v>
      </c>
      <c r="F20" s="169">
        <v>90</v>
      </c>
      <c r="G20" s="169">
        <v>31</v>
      </c>
      <c r="H20" s="169">
        <v>10</v>
      </c>
      <c r="I20" s="169">
        <v>-18</v>
      </c>
      <c r="J20" s="321">
        <v>9</v>
      </c>
      <c r="K20" s="321">
        <v>23.234999999999999</v>
      </c>
      <c r="L20" s="321">
        <v>29.07</v>
      </c>
      <c r="M20" s="321"/>
      <c r="O20" s="229"/>
    </row>
    <row r="21" spans="1:15" s="6" customFormat="1" ht="15" customHeight="1">
      <c r="A21" s="115" t="s">
        <v>629</v>
      </c>
      <c r="B21" s="105">
        <v>-295</v>
      </c>
      <c r="C21" s="105">
        <v>-278</v>
      </c>
      <c r="D21" s="105">
        <v>-104</v>
      </c>
      <c r="E21" s="105">
        <v>-421</v>
      </c>
      <c r="F21" s="169">
        <v>-128</v>
      </c>
      <c r="G21" s="169">
        <v>-190</v>
      </c>
      <c r="H21" s="169">
        <v>-428</v>
      </c>
      <c r="I21" s="169">
        <v>-239</v>
      </c>
      <c r="J21" s="321">
        <v>-699.83201975293605</v>
      </c>
      <c r="K21" s="321">
        <v>-309.89222787293295</v>
      </c>
      <c r="L21" s="321">
        <v>-105.16361528390087</v>
      </c>
      <c r="M21" s="321"/>
      <c r="O21" s="229"/>
    </row>
    <row r="22" spans="1:15" ht="18" customHeight="1">
      <c r="A22" s="118" t="s">
        <v>549</v>
      </c>
      <c r="B22" s="107">
        <v>5580.4588721357486</v>
      </c>
      <c r="C22" s="107">
        <v>5880.5735172079276</v>
      </c>
      <c r="D22" s="107">
        <v>6390.7649223748995</v>
      </c>
      <c r="E22" s="107">
        <v>5114.8920840476421</v>
      </c>
      <c r="F22" s="172">
        <v>6615.3977765286045</v>
      </c>
      <c r="G22" s="172">
        <v>6358.4065562449314</v>
      </c>
      <c r="H22" s="172">
        <v>7062.9831194098406</v>
      </c>
      <c r="I22" s="172">
        <v>5776.8731664605366</v>
      </c>
      <c r="J22" s="348">
        <v>6641.2038040011385</v>
      </c>
      <c r="K22" s="348">
        <v>6705.2628555091787</v>
      </c>
      <c r="L22" s="348">
        <v>7387.119787182537</v>
      </c>
      <c r="M22" s="348"/>
      <c r="O22" s="229"/>
    </row>
    <row r="23" spans="1:15" ht="15" customHeight="1">
      <c r="A23" s="115"/>
      <c r="B23" s="105"/>
      <c r="C23" s="105"/>
      <c r="D23" s="105"/>
      <c r="E23" s="105"/>
      <c r="F23" s="217"/>
      <c r="G23" s="217"/>
      <c r="H23" s="217"/>
      <c r="I23" s="217"/>
      <c r="J23" s="359"/>
      <c r="K23" s="359"/>
      <c r="L23" s="359"/>
      <c r="M23" s="359"/>
      <c r="O23" s="229"/>
    </row>
    <row r="24" spans="1:15" ht="18" customHeight="1">
      <c r="A24" s="119" t="s">
        <v>538</v>
      </c>
      <c r="B24" s="426">
        <v>6244.2435433728306</v>
      </c>
      <c r="C24" s="426">
        <v>4843.7044109032695</v>
      </c>
      <c r="D24" s="426">
        <v>5405.7919441119993</v>
      </c>
      <c r="E24" s="426">
        <v>2862.6552070809048</v>
      </c>
      <c r="F24" s="178">
        <v>6666.9585648893699</v>
      </c>
      <c r="G24" s="178">
        <v>6049.6509149377307</v>
      </c>
      <c r="H24" s="178">
        <v>701.61595719509933</v>
      </c>
      <c r="I24" s="178">
        <v>-397.84614966250047</v>
      </c>
      <c r="J24" s="339">
        <v>6687.5438265433604</v>
      </c>
      <c r="K24" s="339">
        <v>3573.4417395313394</v>
      </c>
      <c r="L24" s="339">
        <v>-2352.7566073691005</v>
      </c>
      <c r="M24" s="339"/>
      <c r="O24" s="229"/>
    </row>
    <row r="25" spans="1:15" s="6" customFormat="1" ht="15" customHeight="1">
      <c r="A25" s="114" t="s">
        <v>569</v>
      </c>
      <c r="B25" s="105">
        <v>19.160119149999598</v>
      </c>
      <c r="C25" s="105">
        <v>0.81954475160030071</v>
      </c>
      <c r="D25" s="105">
        <v>10.396294526400602</v>
      </c>
      <c r="E25" s="105">
        <v>10.004687173708902</v>
      </c>
      <c r="F25" s="169">
        <v>-1.5173056845016502</v>
      </c>
      <c r="G25" s="169">
        <v>1.7324580561006191</v>
      </c>
      <c r="H25" s="169">
        <v>0</v>
      </c>
      <c r="I25" s="169">
        <v>0</v>
      </c>
      <c r="J25" s="321">
        <v>1.9015709144001001</v>
      </c>
      <c r="K25" s="321">
        <v>2.0818240142601896</v>
      </c>
      <c r="L25" s="321">
        <v>-9.1977982046537505</v>
      </c>
      <c r="M25" s="321"/>
      <c r="O25" s="229"/>
    </row>
    <row r="26" spans="1:15" s="6" customFormat="1" ht="15" customHeight="1">
      <c r="A26" s="142" t="s">
        <v>568</v>
      </c>
      <c r="B26" s="105">
        <v>12.746193999999999</v>
      </c>
      <c r="C26" s="105">
        <v>-77.914337799999998</v>
      </c>
      <c r="D26" s="105">
        <v>-64.595190400000007</v>
      </c>
      <c r="E26" s="105">
        <v>154.63675487999942</v>
      </c>
      <c r="F26" s="169">
        <v>219.83744499999986</v>
      </c>
      <c r="G26" s="169">
        <v>0</v>
      </c>
      <c r="H26" s="169">
        <v>-5361.3725021645996</v>
      </c>
      <c r="I26" s="169">
        <v>-172.79382277799959</v>
      </c>
      <c r="J26" s="321">
        <v>4034.86269387128</v>
      </c>
      <c r="K26" s="321">
        <v>-2612.2294273487601</v>
      </c>
      <c r="L26" s="321">
        <v>-5643.387853464721</v>
      </c>
      <c r="M26" s="321"/>
      <c r="O26" s="229"/>
    </row>
    <row r="27" spans="1:15" s="6" customFormat="1" ht="15" customHeight="1">
      <c r="A27" s="114" t="s">
        <v>10</v>
      </c>
      <c r="B27" s="105">
        <v>-8.7468157040711745</v>
      </c>
      <c r="C27" s="105">
        <v>0</v>
      </c>
      <c r="D27" s="105">
        <v>-16.858579113564012</v>
      </c>
      <c r="E27" s="105">
        <v>-8.7366123211431237</v>
      </c>
      <c r="F27" s="169">
        <v>-13.211794894138979</v>
      </c>
      <c r="G27" s="169">
        <v>-6.6174445167024771</v>
      </c>
      <c r="H27" s="169">
        <v>-58.318499862760717</v>
      </c>
      <c r="I27" s="169">
        <v>-2102.6439334481302</v>
      </c>
      <c r="J27" s="321">
        <v>-2430.0993799389457</v>
      </c>
      <c r="K27" s="321">
        <v>-223.09831780533568</v>
      </c>
      <c r="L27" s="321">
        <v>-4143.5619149347458</v>
      </c>
      <c r="M27" s="321"/>
      <c r="O27" s="229"/>
    </row>
    <row r="28" spans="1:15" s="6" customFormat="1" ht="15" customHeight="1">
      <c r="A28" s="115" t="s">
        <v>628</v>
      </c>
      <c r="B28" s="105">
        <v>2881</v>
      </c>
      <c r="C28" s="105">
        <v>82</v>
      </c>
      <c r="D28" s="105">
        <v>4</v>
      </c>
      <c r="E28" s="105">
        <v>126</v>
      </c>
      <c r="F28" s="169">
        <v>90</v>
      </c>
      <c r="G28" s="169">
        <v>31</v>
      </c>
      <c r="H28" s="169">
        <v>10</v>
      </c>
      <c r="I28" s="169">
        <v>-18</v>
      </c>
      <c r="J28" s="321">
        <v>9</v>
      </c>
      <c r="K28" s="321">
        <v>23.234999999999999</v>
      </c>
      <c r="L28" s="321">
        <v>29.07</v>
      </c>
      <c r="M28" s="321"/>
      <c r="O28" s="229"/>
    </row>
    <row r="29" spans="1:15" s="6" customFormat="1" ht="15" customHeight="1">
      <c r="A29" s="115" t="s">
        <v>629</v>
      </c>
      <c r="B29" s="105">
        <v>-295</v>
      </c>
      <c r="C29" s="105">
        <v>-278</v>
      </c>
      <c r="D29" s="105">
        <v>-104</v>
      </c>
      <c r="E29" s="105">
        <v>-421</v>
      </c>
      <c r="F29" s="169">
        <v>-128</v>
      </c>
      <c r="G29" s="169">
        <v>-190</v>
      </c>
      <c r="H29" s="169">
        <v>-428</v>
      </c>
      <c r="I29" s="169">
        <v>-239</v>
      </c>
      <c r="J29" s="321">
        <v>-699.83201975293605</v>
      </c>
      <c r="K29" s="321">
        <v>-309.89222787293295</v>
      </c>
      <c r="L29" s="321">
        <v>-105.16361528390087</v>
      </c>
      <c r="M29" s="321"/>
      <c r="O29" s="229"/>
    </row>
    <row r="30" spans="1:15" ht="18" customHeight="1">
      <c r="A30" s="118" t="s">
        <v>541</v>
      </c>
      <c r="B30" s="107">
        <v>3635.4954783971602</v>
      </c>
      <c r="C30" s="107">
        <v>5116.4310297828142</v>
      </c>
      <c r="D30" s="107">
        <v>5577.3443535162987</v>
      </c>
      <c r="E30" s="107">
        <v>3001.9196070416401</v>
      </c>
      <c r="F30" s="172">
        <v>6500.2486699382653</v>
      </c>
      <c r="G30" s="172">
        <v>6212.9780531002752</v>
      </c>
      <c r="H30" s="172">
        <v>6538.971506876238</v>
      </c>
      <c r="I30" s="172">
        <v>2135.2824629918359</v>
      </c>
      <c r="J30" s="348">
        <v>5771.7109614495384</v>
      </c>
      <c r="K30" s="348">
        <v>6693.2818907049987</v>
      </c>
      <c r="L30" s="348">
        <v>7519.4845755190072</v>
      </c>
      <c r="M30" s="348"/>
      <c r="O30" s="229"/>
    </row>
    <row r="31" spans="1:15" ht="15.75">
      <c r="B31" s="153"/>
      <c r="C31" s="153"/>
      <c r="D31" s="153"/>
      <c r="E31" s="153"/>
      <c r="F31" s="153"/>
      <c r="G31" s="153"/>
      <c r="H31" s="153"/>
      <c r="I31" s="153"/>
      <c r="J31" s="153"/>
    </row>
    <row r="32" spans="1:15" ht="15.75">
      <c r="A32" s="31"/>
      <c r="B32" s="153"/>
      <c r="C32" s="153"/>
      <c r="D32" s="153"/>
      <c r="E32" s="153"/>
      <c r="F32" s="153"/>
      <c r="G32" s="153"/>
      <c r="H32" s="153"/>
      <c r="I32" s="153"/>
      <c r="J32" s="153"/>
    </row>
    <row r="33" spans="1:1">
      <c r="A33" s="31"/>
    </row>
  </sheetData>
  <mergeCells count="3">
    <mergeCell ref="B4:E4"/>
    <mergeCell ref="F4:I4"/>
    <mergeCell ref="J4:M4"/>
  </mergeCells>
  <phoneticPr fontId="16" type="noConversion"/>
  <pageMargins left="0.41" right="0.28999999999999998" top="0.984251969" bottom="0.984251969" header="0.5" footer="0.5"/>
  <pageSetup paperSize="9" scale="5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enableFormatConditionsCalculation="0">
    <tabColor indexed="25"/>
    <pageSetUpPr fitToPage="1"/>
  </sheetPr>
  <dimension ref="A1:O61"/>
  <sheetViews>
    <sheetView showGridLines="0" view="pageBreakPreview" zoomScale="90" zoomScaleNormal="85" zoomScaleSheetLayoutView="90" workbookViewId="0">
      <selection activeCell="A3" sqref="A3"/>
    </sheetView>
  </sheetViews>
  <sheetFormatPr defaultColWidth="9.140625" defaultRowHeight="12.75"/>
  <cols>
    <col min="1" max="1" width="76.7109375" customWidth="1"/>
    <col min="2" max="13" width="13.7109375" customWidth="1"/>
  </cols>
  <sheetData>
    <row r="1" spans="1:15" ht="15" customHeight="1">
      <c r="K1" s="495"/>
    </row>
    <row r="2" spans="1:15" ht="15" customHeight="1"/>
    <row r="3" spans="1:15" ht="15" customHeight="1" thickBot="1">
      <c r="A3" s="143" t="s">
        <v>39</v>
      </c>
      <c r="B3" s="93"/>
      <c r="C3" s="93"/>
      <c r="D3" s="93"/>
      <c r="E3" s="93"/>
      <c r="F3" s="93"/>
      <c r="G3" s="93"/>
      <c r="H3" s="93"/>
      <c r="I3" s="93"/>
      <c r="J3" s="93"/>
      <c r="K3" s="93"/>
      <c r="L3" s="93"/>
      <c r="M3" s="93"/>
    </row>
    <row r="4" spans="1:15" ht="15" customHeight="1" thickBot="1">
      <c r="A4" s="123" t="s">
        <v>33</v>
      </c>
      <c r="B4" s="576">
        <v>2014</v>
      </c>
      <c r="C4" s="577"/>
      <c r="D4" s="577"/>
      <c r="E4" s="578"/>
      <c r="F4" s="579">
        <v>2015</v>
      </c>
      <c r="G4" s="580"/>
      <c r="H4" s="580"/>
      <c r="I4" s="581"/>
      <c r="J4" s="582">
        <v>2016</v>
      </c>
      <c r="K4" s="583"/>
      <c r="L4" s="583"/>
      <c r="M4" s="583"/>
    </row>
    <row r="5" spans="1:15" ht="15" customHeight="1" thickBot="1">
      <c r="A5" s="124" t="s">
        <v>527</v>
      </c>
      <c r="B5" s="290" t="s">
        <v>510</v>
      </c>
      <c r="C5" s="290" t="s">
        <v>511</v>
      </c>
      <c r="D5" s="290" t="s">
        <v>513</v>
      </c>
      <c r="E5" s="290" t="s">
        <v>514</v>
      </c>
      <c r="F5" s="311" t="s">
        <v>510</v>
      </c>
      <c r="G5" s="311" t="s">
        <v>511</v>
      </c>
      <c r="H5" s="311" t="s">
        <v>513</v>
      </c>
      <c r="I5" s="311" t="s">
        <v>514</v>
      </c>
      <c r="J5" s="237" t="s">
        <v>510</v>
      </c>
      <c r="K5" s="237" t="s">
        <v>511</v>
      </c>
      <c r="L5" s="237" t="s">
        <v>513</v>
      </c>
      <c r="M5" s="237" t="s">
        <v>514</v>
      </c>
    </row>
    <row r="6" spans="1:15" ht="15" customHeight="1">
      <c r="A6" s="567" t="s">
        <v>715</v>
      </c>
      <c r="B6" s="110">
        <v>-2341.00575430762</v>
      </c>
      <c r="C6" s="110">
        <v>-2438.86683165045</v>
      </c>
      <c r="D6" s="110">
        <v>-2448.19615148503</v>
      </c>
      <c r="E6" s="110">
        <v>-2509.1267194959892</v>
      </c>
      <c r="F6" s="177">
        <v>-2400.7195849791497</v>
      </c>
      <c r="G6" s="177">
        <v>-2592.7975952220795</v>
      </c>
      <c r="H6" s="177">
        <v>-2891.3708259387713</v>
      </c>
      <c r="I6" s="177">
        <v>-3165.2668350091217</v>
      </c>
      <c r="J6" s="338">
        <v>-3031.7475431990279</v>
      </c>
      <c r="K6" s="338">
        <v>-2885.6813771010229</v>
      </c>
      <c r="L6" s="338">
        <v>-2982.7882431325315</v>
      </c>
      <c r="M6" s="338"/>
      <c r="O6" s="229"/>
    </row>
    <row r="7" spans="1:15" ht="15" customHeight="1">
      <c r="A7" s="568" t="s">
        <v>716</v>
      </c>
      <c r="B7" s="112">
        <v>-1376.9134607732503</v>
      </c>
      <c r="C7" s="112">
        <v>-1296.8078430410596</v>
      </c>
      <c r="D7" s="112">
        <v>-1424.0498087446895</v>
      </c>
      <c r="E7" s="112">
        <v>-1694.4178526579108</v>
      </c>
      <c r="F7" s="170">
        <v>-1779.1815176738801</v>
      </c>
      <c r="G7" s="170">
        <v>-1743.6392806455706</v>
      </c>
      <c r="H7" s="170">
        <v>-1893.2355862578497</v>
      </c>
      <c r="I7" s="170">
        <v>-1917.6302160172754</v>
      </c>
      <c r="J7" s="335">
        <v>-2011.8465999877117</v>
      </c>
      <c r="K7" s="335">
        <v>-1954.0166994384772</v>
      </c>
      <c r="L7" s="335">
        <v>-2090.3257733272303</v>
      </c>
      <c r="M7" s="335"/>
      <c r="O7" s="229"/>
    </row>
    <row r="8" spans="1:15" ht="18" customHeight="1">
      <c r="A8" s="87" t="s">
        <v>507</v>
      </c>
      <c r="B8" s="128">
        <v>-3717.9192150808703</v>
      </c>
      <c r="C8" s="128">
        <v>-3735.6746746915096</v>
      </c>
      <c r="D8" s="128">
        <v>-3872.2459602297195</v>
      </c>
      <c r="E8" s="128">
        <v>-4203.5445721538999</v>
      </c>
      <c r="F8" s="178">
        <v>-4179.9011026530297</v>
      </c>
      <c r="G8" s="178">
        <v>-4336.4368758676501</v>
      </c>
      <c r="H8" s="178">
        <v>-4784.606412196621</v>
      </c>
      <c r="I8" s="178">
        <v>-5082.8970510263971</v>
      </c>
      <c r="J8" s="339">
        <v>-5043.5941431867395</v>
      </c>
      <c r="K8" s="339">
        <v>-4839.6980765395001</v>
      </c>
      <c r="L8" s="339">
        <v>-5073.1140164597618</v>
      </c>
      <c r="M8" s="339"/>
      <c r="O8" s="229"/>
    </row>
    <row r="9" spans="1:15" ht="15" customHeight="1">
      <c r="A9" s="145" t="s">
        <v>717</v>
      </c>
      <c r="B9" s="110">
        <v>-3.4395516695405903</v>
      </c>
      <c r="C9" s="110">
        <v>0</v>
      </c>
      <c r="D9" s="110">
        <v>-1.3958520993812003</v>
      </c>
      <c r="E9" s="110">
        <v>0.50299507303370028</v>
      </c>
      <c r="F9" s="169">
        <v>-3.5868018130299401E-7</v>
      </c>
      <c r="G9" s="169">
        <v>-6.6166209938937284</v>
      </c>
      <c r="H9" s="169">
        <v>-58.246598628320889</v>
      </c>
      <c r="I9" s="169">
        <v>-1550.5783881324001</v>
      </c>
      <c r="J9" s="321">
        <v>-1420.4431931984</v>
      </c>
      <c r="K9" s="321">
        <v>-216.8103255304402</v>
      </c>
      <c r="L9" s="321">
        <v>-139.59929175579964</v>
      </c>
      <c r="M9" s="321"/>
      <c r="O9" s="229"/>
    </row>
    <row r="10" spans="1:15" ht="15" customHeight="1">
      <c r="A10" s="83" t="s">
        <v>40</v>
      </c>
      <c r="B10" s="110">
        <v>0</v>
      </c>
      <c r="C10" s="110">
        <v>0</v>
      </c>
      <c r="D10" s="110">
        <v>-6.2047259341742143</v>
      </c>
      <c r="E10" s="110">
        <v>0</v>
      </c>
      <c r="F10" s="169">
        <v>0</v>
      </c>
      <c r="G10" s="169">
        <v>0</v>
      </c>
      <c r="H10" s="169">
        <v>0</v>
      </c>
      <c r="I10" s="169">
        <v>0</v>
      </c>
      <c r="J10" s="321">
        <v>0</v>
      </c>
      <c r="K10" s="321">
        <v>0</v>
      </c>
      <c r="L10" s="321">
        <v>0</v>
      </c>
      <c r="M10" s="321"/>
      <c r="O10" s="229"/>
    </row>
    <row r="11" spans="1:15" ht="15" customHeight="1">
      <c r="A11" s="407" t="s">
        <v>718</v>
      </c>
      <c r="B11" s="110">
        <v>-5.3356480006627898</v>
      </c>
      <c r="C11" s="110">
        <v>0</v>
      </c>
      <c r="D11" s="110">
        <v>-9.2580000000085985</v>
      </c>
      <c r="E11" s="110">
        <v>-9.239442632076603</v>
      </c>
      <c r="F11" s="169">
        <v>-13.212292806132</v>
      </c>
      <c r="G11" s="169">
        <v>0</v>
      </c>
      <c r="H11" s="169">
        <v>0</v>
      </c>
      <c r="I11" s="169">
        <v>-551.57925891033244</v>
      </c>
      <c r="J11" s="321">
        <v>-1009.6561851070001</v>
      </c>
      <c r="K11" s="321">
        <v>-6.287991680905975</v>
      </c>
      <c r="L11" s="321">
        <v>-4003.2079626068235</v>
      </c>
      <c r="M11" s="321"/>
      <c r="O11" s="229"/>
    </row>
    <row r="12" spans="1:15" ht="18" customHeight="1">
      <c r="A12" s="101" t="s">
        <v>41</v>
      </c>
      <c r="B12" s="113">
        <v>-8.7468146240711704</v>
      </c>
      <c r="C12" s="113">
        <v>0</v>
      </c>
      <c r="D12" s="113">
        <v>-16.858578033564015</v>
      </c>
      <c r="E12" s="113">
        <v>-8.7366112411431445</v>
      </c>
      <c r="F12" s="171">
        <v>-13.211794887162172</v>
      </c>
      <c r="G12" s="171">
        <v>-6.6174445097257379</v>
      </c>
      <c r="H12" s="171">
        <v>-58.24635540635488</v>
      </c>
      <c r="I12" s="171">
        <v>-2102.6436875291024</v>
      </c>
      <c r="J12" s="334">
        <v>-2430.0993799394801</v>
      </c>
      <c r="K12" s="334">
        <v>-223.09831780587274</v>
      </c>
      <c r="L12" s="334">
        <v>-4142.8072559352786</v>
      </c>
      <c r="M12" s="334"/>
      <c r="O12" s="229"/>
    </row>
    <row r="13" spans="1:15" ht="18" customHeight="1">
      <c r="A13" s="101" t="s">
        <v>42</v>
      </c>
      <c r="B13" s="113">
        <v>-3726.6660297049416</v>
      </c>
      <c r="C13" s="113">
        <v>-3735.6359038029964</v>
      </c>
      <c r="D13" s="113">
        <v>-3889.1045382632828</v>
      </c>
      <c r="E13" s="113">
        <v>-4212.2811833950436</v>
      </c>
      <c r="F13" s="171">
        <v>-4193.1128975401916</v>
      </c>
      <c r="G13" s="171">
        <v>-4343.0543203773759</v>
      </c>
      <c r="H13" s="171">
        <v>-4842.8527676029753</v>
      </c>
      <c r="I13" s="171">
        <v>-7185.5407385555009</v>
      </c>
      <c r="J13" s="334">
        <v>-7473.6935231262196</v>
      </c>
      <c r="K13" s="334">
        <v>-5062.7963943453724</v>
      </c>
      <c r="L13" s="334">
        <v>-9215.9212723950386</v>
      </c>
      <c r="M13" s="334"/>
      <c r="O13" s="229"/>
    </row>
    <row r="14" spans="1:15" ht="18" customHeight="1">
      <c r="A14" s="228" t="s">
        <v>719</v>
      </c>
      <c r="B14" s="110"/>
      <c r="C14" s="110"/>
      <c r="D14" s="110"/>
      <c r="E14" s="110"/>
      <c r="F14" s="169"/>
      <c r="G14" s="169"/>
      <c r="H14" s="169"/>
      <c r="I14" s="169"/>
      <c r="J14" s="321"/>
      <c r="K14" s="321"/>
      <c r="L14" s="321"/>
      <c r="M14" s="321"/>
      <c r="O14" s="229"/>
    </row>
    <row r="15" spans="1:15" s="405" customFormat="1" ht="18" customHeight="1">
      <c r="A15" s="566" t="s">
        <v>720</v>
      </c>
      <c r="B15" s="112"/>
      <c r="C15" s="112"/>
      <c r="D15" s="112"/>
      <c r="E15" s="112"/>
      <c r="F15" s="170"/>
      <c r="G15" s="170"/>
      <c r="H15" s="170"/>
      <c r="I15" s="170"/>
      <c r="J15" s="335"/>
      <c r="K15" s="335"/>
      <c r="L15" s="335"/>
      <c r="M15" s="335"/>
      <c r="O15" s="229"/>
    </row>
    <row r="16" spans="1:15" ht="15" customHeight="1" thickBot="1">
      <c r="A16" s="93"/>
      <c r="B16" s="93"/>
      <c r="C16" s="93"/>
      <c r="D16" s="93"/>
      <c r="E16" s="93"/>
      <c r="F16" s="93"/>
      <c r="G16" s="93"/>
      <c r="H16" s="93"/>
      <c r="I16" s="93"/>
      <c r="J16" s="93"/>
      <c r="K16" s="93"/>
      <c r="L16" s="93"/>
      <c r="M16" s="93"/>
      <c r="O16" s="229"/>
    </row>
    <row r="17" spans="1:15" ht="15" customHeight="1" thickBot="1">
      <c r="A17" s="123" t="s">
        <v>33</v>
      </c>
      <c r="B17" s="576">
        <v>2014</v>
      </c>
      <c r="C17" s="577"/>
      <c r="D17" s="577"/>
      <c r="E17" s="578"/>
      <c r="F17" s="579">
        <v>2015</v>
      </c>
      <c r="G17" s="580"/>
      <c r="H17" s="580"/>
      <c r="I17" s="581"/>
      <c r="J17" s="582">
        <v>2016</v>
      </c>
      <c r="K17" s="583"/>
      <c r="L17" s="583"/>
      <c r="M17" s="583"/>
      <c r="O17" s="229"/>
    </row>
    <row r="18" spans="1:15" ht="15" customHeight="1" thickBot="1">
      <c r="A18" s="124" t="s">
        <v>527</v>
      </c>
      <c r="B18" s="290" t="s">
        <v>510</v>
      </c>
      <c r="C18" s="290" t="s">
        <v>511</v>
      </c>
      <c r="D18" s="290" t="s">
        <v>513</v>
      </c>
      <c r="E18" s="290" t="s">
        <v>514</v>
      </c>
      <c r="F18" s="311" t="s">
        <v>510</v>
      </c>
      <c r="G18" s="311" t="s">
        <v>511</v>
      </c>
      <c r="H18" s="311" t="s">
        <v>513</v>
      </c>
      <c r="I18" s="311" t="s">
        <v>514</v>
      </c>
      <c r="J18" s="237" t="s">
        <v>510</v>
      </c>
      <c r="K18" s="237" t="s">
        <v>511</v>
      </c>
      <c r="L18" s="237" t="s">
        <v>513</v>
      </c>
      <c r="M18" s="237" t="s">
        <v>514</v>
      </c>
      <c r="O18" s="229"/>
    </row>
    <row r="19" spans="1:15" ht="18" customHeight="1">
      <c r="A19" s="144" t="s">
        <v>721</v>
      </c>
      <c r="B19" s="126"/>
      <c r="C19" s="126"/>
      <c r="D19" s="126"/>
      <c r="E19" s="126"/>
      <c r="F19" s="177"/>
      <c r="G19" s="177"/>
      <c r="H19" s="177"/>
      <c r="I19" s="177"/>
      <c r="J19" s="338"/>
      <c r="K19" s="338"/>
      <c r="L19" s="338"/>
      <c r="M19" s="338"/>
      <c r="O19" s="229"/>
    </row>
    <row r="20" spans="1:15" ht="15" customHeight="1">
      <c r="A20" s="104" t="s">
        <v>47</v>
      </c>
      <c r="B20" s="110">
        <v>-644.72151361282806</v>
      </c>
      <c r="C20" s="110">
        <v>-669.13274512677197</v>
      </c>
      <c r="D20" s="110">
        <v>-682.92153153430991</v>
      </c>
      <c r="E20" s="110">
        <v>-704.21993825531035</v>
      </c>
      <c r="F20" s="169">
        <v>-696.09264449544503</v>
      </c>
      <c r="G20" s="169">
        <v>-707.15162781607501</v>
      </c>
      <c r="H20" s="169">
        <v>-715.35837784502974</v>
      </c>
      <c r="I20" s="169">
        <v>-726.47159563149035</v>
      </c>
      <c r="J20" s="321">
        <v>-722.995011074741</v>
      </c>
      <c r="K20" s="321">
        <v>-733.36173143448889</v>
      </c>
      <c r="L20" s="321">
        <v>-757.24332036417013</v>
      </c>
      <c r="M20" s="321"/>
      <c r="O20" s="229"/>
    </row>
    <row r="21" spans="1:15" ht="15" customHeight="1">
      <c r="A21" s="104" t="s">
        <v>23</v>
      </c>
      <c r="B21" s="110">
        <v>-266.06116054297797</v>
      </c>
      <c r="C21" s="110">
        <v>-248.55511389103003</v>
      </c>
      <c r="D21" s="110">
        <v>-247.14125032466404</v>
      </c>
      <c r="E21" s="110">
        <v>-254.60369966975793</v>
      </c>
      <c r="F21" s="169">
        <v>-238.028559773518</v>
      </c>
      <c r="G21" s="169">
        <v>-234.53744235492201</v>
      </c>
      <c r="H21" s="169">
        <v>-245.98687446678196</v>
      </c>
      <c r="I21" s="169">
        <v>-267.83025578721913</v>
      </c>
      <c r="J21" s="321">
        <v>-277.24797089089401</v>
      </c>
      <c r="K21" s="321">
        <v>-267.72458723838798</v>
      </c>
      <c r="L21" s="321">
        <v>-260.99923023210499</v>
      </c>
      <c r="M21" s="321"/>
      <c r="O21" s="229"/>
    </row>
    <row r="22" spans="1:15" ht="15" customHeight="1">
      <c r="A22" s="104" t="s">
        <v>13</v>
      </c>
      <c r="B22" s="110">
        <v>-129.28639804302199</v>
      </c>
      <c r="C22" s="110">
        <v>-118.847785215415</v>
      </c>
      <c r="D22" s="110">
        <v>-110.01257579319295</v>
      </c>
      <c r="E22" s="110">
        <v>-125.68351996549404</v>
      </c>
      <c r="F22" s="169">
        <v>-113.11159619111702</v>
      </c>
      <c r="G22" s="169">
        <v>-115.83145359656099</v>
      </c>
      <c r="H22" s="169">
        <v>-124.16792426179202</v>
      </c>
      <c r="I22" s="169">
        <v>-118.58929797686199</v>
      </c>
      <c r="J22" s="321">
        <v>-43.971586535143601</v>
      </c>
      <c r="K22" s="321">
        <v>-42.523137662011592</v>
      </c>
      <c r="L22" s="321">
        <v>-39.97030777795581</v>
      </c>
      <c r="M22" s="321"/>
      <c r="O22" s="229"/>
    </row>
    <row r="23" spans="1:15" ht="15" customHeight="1">
      <c r="A23" s="104" t="s">
        <v>17</v>
      </c>
      <c r="B23" s="110">
        <v>-51.8460749542852</v>
      </c>
      <c r="C23" s="110">
        <v>-50.5914672178438</v>
      </c>
      <c r="D23" s="110">
        <v>-50.194609998840988</v>
      </c>
      <c r="E23" s="110">
        <v>-54.956860504171033</v>
      </c>
      <c r="F23" s="169">
        <v>-52.636443610821097</v>
      </c>
      <c r="G23" s="169">
        <v>-52.117475881554903</v>
      </c>
      <c r="H23" s="169">
        <v>-56.625658177437018</v>
      </c>
      <c r="I23" s="169">
        <v>-61.485971637169968</v>
      </c>
      <c r="J23" s="321">
        <v>-61.073947250698403</v>
      </c>
      <c r="K23" s="321">
        <v>-59.839363740294594</v>
      </c>
      <c r="L23" s="321">
        <v>-60.220593673095024</v>
      </c>
      <c r="M23" s="321"/>
      <c r="O23" s="229"/>
    </row>
    <row r="24" spans="1:15" ht="15" customHeight="1">
      <c r="A24" s="104" t="s">
        <v>639</v>
      </c>
      <c r="B24" s="110">
        <v>-308.48504542310002</v>
      </c>
      <c r="C24" s="110">
        <v>-356.62195319850002</v>
      </c>
      <c r="D24" s="110">
        <v>-268.61791893839995</v>
      </c>
      <c r="E24" s="110">
        <v>-116.50572340989993</v>
      </c>
      <c r="F24" s="169">
        <v>13.99258768739999</v>
      </c>
      <c r="G24" s="169">
        <v>-53.928424766199996</v>
      </c>
      <c r="H24" s="169">
        <v>-49.225828866200004</v>
      </c>
      <c r="I24" s="169">
        <v>-48.317810953796595</v>
      </c>
      <c r="J24" s="321">
        <v>-54.061203175964131</v>
      </c>
      <c r="K24" s="321">
        <v>-52.692955677956483</v>
      </c>
      <c r="L24" s="321">
        <v>-53.482824539475672</v>
      </c>
      <c r="M24" s="321"/>
      <c r="O24" s="229"/>
    </row>
    <row r="25" spans="1:15" ht="15" customHeight="1">
      <c r="A25" s="104" t="s">
        <v>620</v>
      </c>
      <c r="B25" s="110">
        <v>-50.188442089508001</v>
      </c>
      <c r="C25" s="110">
        <v>-49.828565532913998</v>
      </c>
      <c r="D25" s="110">
        <v>-47.639055175410988</v>
      </c>
      <c r="E25" s="110">
        <v>-53.131214993083006</v>
      </c>
      <c r="F25" s="169">
        <v>-55.677725164887995</v>
      </c>
      <c r="G25" s="169">
        <v>-54.641044265229006</v>
      </c>
      <c r="H25" s="169">
        <v>-60.012999251088004</v>
      </c>
      <c r="I25" s="169">
        <v>-63.697900997934454</v>
      </c>
      <c r="J25" s="321">
        <v>-63.473169791041805</v>
      </c>
      <c r="K25" s="321">
        <v>-62.903483116754067</v>
      </c>
      <c r="L25" s="321">
        <v>-65.877650007696971</v>
      </c>
      <c r="M25" s="321"/>
      <c r="O25" s="229"/>
    </row>
    <row r="26" spans="1:15" ht="15" customHeight="1">
      <c r="A26" s="104" t="s">
        <v>608</v>
      </c>
      <c r="B26" s="110">
        <v>-133.95967368660001</v>
      </c>
      <c r="C26" s="110">
        <v>-149.40327150592998</v>
      </c>
      <c r="D26" s="110">
        <v>-185.33058261175302</v>
      </c>
      <c r="E26" s="110">
        <v>-199.56390386313706</v>
      </c>
      <c r="F26" s="169">
        <v>-250.507005271585</v>
      </c>
      <c r="G26" s="169">
        <v>-261.17220344154902</v>
      </c>
      <c r="H26" s="169">
        <v>-272.11300252202693</v>
      </c>
      <c r="I26" s="169">
        <v>-298.02612581963899</v>
      </c>
      <c r="J26" s="321">
        <v>-311.44557131290003</v>
      </c>
      <c r="K26" s="321">
        <v>-337.9096249270649</v>
      </c>
      <c r="L26" s="321">
        <v>-372.50640024176505</v>
      </c>
      <c r="M26" s="321"/>
      <c r="O26" s="229"/>
    </row>
    <row r="27" spans="1:15" ht="15" customHeight="1">
      <c r="A27" s="104" t="s">
        <v>638</v>
      </c>
      <c r="B27" s="110">
        <v>-153.22299261500001</v>
      </c>
      <c r="C27" s="110">
        <v>-162.16403127609999</v>
      </c>
      <c r="D27" s="110">
        <v>-200.97722239303204</v>
      </c>
      <c r="E27" s="110">
        <v>-207.47906817564001</v>
      </c>
      <c r="F27" s="169">
        <v>-231.01180767882002</v>
      </c>
      <c r="G27" s="169">
        <v>-250.06100930177999</v>
      </c>
      <c r="H27" s="169">
        <v>-278.02602272405306</v>
      </c>
      <c r="I27" s="169">
        <v>-300.74682093055685</v>
      </c>
      <c r="J27" s="321">
        <v>-252.90434615037998</v>
      </c>
      <c r="K27" s="321">
        <v>-230.11711474320504</v>
      </c>
      <c r="L27" s="321">
        <v>-290.61801118382294</v>
      </c>
      <c r="M27" s="321"/>
      <c r="O27" s="229"/>
    </row>
    <row r="28" spans="1:15" ht="15" customHeight="1">
      <c r="A28" s="104" t="s">
        <v>498</v>
      </c>
      <c r="B28" s="110">
        <v>-246.457919239365</v>
      </c>
      <c r="C28" s="110">
        <v>-241.91392312325897</v>
      </c>
      <c r="D28" s="110">
        <v>-272.68363001701607</v>
      </c>
      <c r="E28" s="110">
        <v>-356.67620649910998</v>
      </c>
      <c r="F28" s="169">
        <v>-308.40792680716697</v>
      </c>
      <c r="G28" s="169">
        <v>-369.50968391132903</v>
      </c>
      <c r="H28" s="169">
        <v>-422.72879033179402</v>
      </c>
      <c r="I28" s="169">
        <v>-443.75105336655997</v>
      </c>
      <c r="J28" s="321">
        <v>-450.77314198730198</v>
      </c>
      <c r="K28" s="321">
        <v>-452.21836497436607</v>
      </c>
      <c r="L28" s="321">
        <v>-428.37723186828214</v>
      </c>
      <c r="M28" s="321"/>
      <c r="O28" s="229"/>
    </row>
    <row r="29" spans="1:15" ht="15" customHeight="1">
      <c r="A29" s="104" t="s">
        <v>26</v>
      </c>
      <c r="B29" s="110">
        <v>-134.54153360303198</v>
      </c>
      <c r="C29" s="110">
        <v>-166.76682310376904</v>
      </c>
      <c r="D29" s="110">
        <v>-158.85447379907498</v>
      </c>
      <c r="E29" s="110">
        <v>-176.08961110071294</v>
      </c>
      <c r="F29" s="169">
        <v>-195.97607550098101</v>
      </c>
      <c r="G29" s="169">
        <v>-197.02834017803698</v>
      </c>
      <c r="H29" s="169">
        <v>-220.73499072749706</v>
      </c>
      <c r="I29" s="169">
        <v>-245.12647136965893</v>
      </c>
      <c r="J29" s="321">
        <v>-236.181164892965</v>
      </c>
      <c r="K29" s="321">
        <v>-224.98302356326599</v>
      </c>
      <c r="L29" s="321">
        <v>-231.11426780607798</v>
      </c>
      <c r="M29" s="321"/>
      <c r="O29" s="229"/>
    </row>
    <row r="30" spans="1:15" ht="15" customHeight="1">
      <c r="A30" s="104" t="s">
        <v>45</v>
      </c>
      <c r="B30" s="110">
        <v>-6.5095136517930596</v>
      </c>
      <c r="C30" s="110">
        <v>-7.7028714517930412</v>
      </c>
      <c r="D30" s="110">
        <v>-13.482524420725099</v>
      </c>
      <c r="E30" s="110">
        <v>-19.950919659274</v>
      </c>
      <c r="F30" s="169">
        <v>-31.9108491626587</v>
      </c>
      <c r="G30" s="169">
        <v>-33.672890999408203</v>
      </c>
      <c r="H30" s="169">
        <v>-154.63750235594711</v>
      </c>
      <c r="I30" s="169">
        <v>-224.20017529302598</v>
      </c>
      <c r="J30" s="321">
        <v>-201.58700187465899</v>
      </c>
      <c r="K30" s="321">
        <v>3.6730056230559853</v>
      </c>
      <c r="L30" s="321">
        <v>0.78723489562003124</v>
      </c>
      <c r="M30" s="321"/>
      <c r="O30" s="229"/>
    </row>
    <row r="31" spans="1:15" ht="15" customHeight="1">
      <c r="A31" s="104" t="s">
        <v>613</v>
      </c>
      <c r="B31" s="110">
        <v>-0.57426756200000006</v>
      </c>
      <c r="C31" s="110">
        <v>-1.369187798</v>
      </c>
      <c r="D31" s="110">
        <v>-2.0416504839999998</v>
      </c>
      <c r="E31" s="110">
        <v>-23.761149076060999</v>
      </c>
      <c r="F31" s="169">
        <v>-31.374335124000002</v>
      </c>
      <c r="G31" s="169">
        <v>-46.124335594434001</v>
      </c>
      <c r="H31" s="169">
        <v>-52.60999483199501</v>
      </c>
      <c r="I31" s="169">
        <v>-119.123043414134</v>
      </c>
      <c r="J31" s="321">
        <v>-108.699162901048</v>
      </c>
      <c r="K31" s="321">
        <v>-156.497803570597</v>
      </c>
      <c r="L31" s="321">
        <v>-156.99095164038403</v>
      </c>
      <c r="M31" s="321"/>
      <c r="O31" s="229"/>
    </row>
    <row r="32" spans="1:15" ht="15" customHeight="1">
      <c r="A32" s="104" t="s">
        <v>380</v>
      </c>
      <c r="B32" s="110">
        <v>-119.32494017453399</v>
      </c>
      <c r="C32" s="110">
        <v>-118.115000431688</v>
      </c>
      <c r="D32" s="110">
        <v>-118.494638768839</v>
      </c>
      <c r="E32" s="110">
        <v>-121.147316745669</v>
      </c>
      <c r="F32" s="169">
        <v>-118.824137837048</v>
      </c>
      <c r="G32" s="169">
        <v>-121.06952506580998</v>
      </c>
      <c r="H32" s="169">
        <v>-148.72941870848402</v>
      </c>
      <c r="I32" s="169">
        <v>-148.92394062143802</v>
      </c>
      <c r="J32" s="321">
        <v>-148.63175531504299</v>
      </c>
      <c r="K32" s="321">
        <v>-164.33134388261902</v>
      </c>
      <c r="L32" s="321">
        <v>-158.22659867378599</v>
      </c>
      <c r="M32" s="321"/>
      <c r="O32" s="229"/>
    </row>
    <row r="33" spans="1:15" ht="15" customHeight="1">
      <c r="A33" s="104" t="s">
        <v>135</v>
      </c>
      <c r="B33" s="110">
        <v>-95.826279109574998</v>
      </c>
      <c r="C33" s="110">
        <v>-97.854092777447008</v>
      </c>
      <c r="D33" s="110">
        <v>-89.80448722577799</v>
      </c>
      <c r="E33" s="110">
        <v>-95.357587578660969</v>
      </c>
      <c r="F33" s="169">
        <v>-91.153066048500008</v>
      </c>
      <c r="G33" s="169">
        <v>-95.952138049163992</v>
      </c>
      <c r="H33" s="169">
        <v>-90.413440868685996</v>
      </c>
      <c r="I33" s="169">
        <v>-98.976371209627018</v>
      </c>
      <c r="J33" s="321">
        <v>-98.702510046252797</v>
      </c>
      <c r="K33" s="321">
        <v>-104.25184819306619</v>
      </c>
      <c r="L33" s="321">
        <v>-107.94809001953303</v>
      </c>
      <c r="M33" s="321"/>
      <c r="O33" s="229"/>
    </row>
    <row r="34" spans="1:15" ht="15" customHeight="1">
      <c r="A34" s="104" t="s">
        <v>410</v>
      </c>
      <c r="B34" s="110">
        <v>0</v>
      </c>
      <c r="C34" s="110">
        <v>0</v>
      </c>
      <c r="D34" s="110">
        <v>0</v>
      </c>
      <c r="E34" s="110">
        <v>0</v>
      </c>
      <c r="F34" s="169">
        <v>0</v>
      </c>
      <c r="G34" s="169">
        <v>0</v>
      </c>
      <c r="H34" s="169">
        <v>0</v>
      </c>
      <c r="I34" s="169">
        <v>0</v>
      </c>
      <c r="J34" s="321">
        <v>0</v>
      </c>
      <c r="K34" s="321">
        <v>0</v>
      </c>
      <c r="L34" s="321">
        <v>0</v>
      </c>
      <c r="M34" s="321"/>
      <c r="O34" s="229"/>
    </row>
    <row r="35" spans="1:15" ht="18" customHeight="1">
      <c r="A35" s="101" t="s">
        <v>133</v>
      </c>
      <c r="B35" s="113">
        <v>-2341.00575430762</v>
      </c>
      <c r="C35" s="113">
        <v>-2438.8668316504609</v>
      </c>
      <c r="D35" s="113">
        <v>-2448.1961514850364</v>
      </c>
      <c r="E35" s="113">
        <v>-2509.1267194959828</v>
      </c>
      <c r="F35" s="171">
        <v>-2400.7195849791497</v>
      </c>
      <c r="G35" s="171">
        <v>-2592.7975952220513</v>
      </c>
      <c r="H35" s="171">
        <v>-2891.3708259388113</v>
      </c>
      <c r="I35" s="171">
        <v>-3165.2668350091135</v>
      </c>
      <c r="J35" s="334">
        <v>-3031.7475431990333</v>
      </c>
      <c r="K35" s="334">
        <v>-2885.681377101022</v>
      </c>
      <c r="L35" s="334">
        <v>-2982.7882431325288</v>
      </c>
      <c r="M35" s="334"/>
      <c r="O35" s="229"/>
    </row>
    <row r="36" spans="1:15" ht="18" customHeight="1">
      <c r="A36" s="144" t="s">
        <v>722</v>
      </c>
      <c r="B36" s="110"/>
      <c r="C36" s="110"/>
      <c r="D36" s="110"/>
      <c r="E36" s="110"/>
      <c r="F36" s="169"/>
      <c r="G36" s="169"/>
      <c r="H36" s="169"/>
      <c r="I36" s="169"/>
      <c r="J36" s="321"/>
      <c r="K36" s="321"/>
      <c r="L36" s="321"/>
      <c r="M36" s="321"/>
      <c r="O36" s="229"/>
    </row>
    <row r="37" spans="1:15" ht="15" customHeight="1">
      <c r="A37" s="104" t="s">
        <v>47</v>
      </c>
      <c r="B37" s="110">
        <v>-199.38383980372589</v>
      </c>
      <c r="C37" s="110">
        <v>-153.67696412372391</v>
      </c>
      <c r="D37" s="110">
        <v>-180.45952233789012</v>
      </c>
      <c r="E37" s="110">
        <v>-188.43994208512004</v>
      </c>
      <c r="F37" s="169">
        <v>-181.70960269951195</v>
      </c>
      <c r="G37" s="169">
        <v>-181.54898715951811</v>
      </c>
      <c r="H37" s="169">
        <v>-180.11418854950034</v>
      </c>
      <c r="I37" s="169">
        <v>-176.87152035951931</v>
      </c>
      <c r="J37" s="321">
        <v>-200.07756609951196</v>
      </c>
      <c r="K37" s="321">
        <v>-181.20553594950809</v>
      </c>
      <c r="L37" s="321">
        <v>-195.27968065722985</v>
      </c>
      <c r="M37" s="321"/>
      <c r="O37" s="229"/>
    </row>
    <row r="38" spans="1:15" ht="15" customHeight="1">
      <c r="A38" s="104" t="s">
        <v>23</v>
      </c>
      <c r="B38" s="110">
        <v>-123.09441369688807</v>
      </c>
      <c r="C38" s="110">
        <v>-126.49557630003687</v>
      </c>
      <c r="D38" s="110">
        <v>-140.11608758144291</v>
      </c>
      <c r="E38" s="110">
        <v>-127.13558250657218</v>
      </c>
      <c r="F38" s="169">
        <v>-127.81337700839805</v>
      </c>
      <c r="G38" s="169">
        <v>-125.26538451919686</v>
      </c>
      <c r="H38" s="169">
        <v>-132.99707577750314</v>
      </c>
      <c r="I38" s="169">
        <v>-149.92031719796091</v>
      </c>
      <c r="J38" s="321">
        <v>-136.40741952832599</v>
      </c>
      <c r="K38" s="321">
        <v>-133.43102935077212</v>
      </c>
      <c r="L38" s="321">
        <v>-126.03958470839484</v>
      </c>
      <c r="M38" s="321"/>
      <c r="O38" s="229"/>
    </row>
    <row r="39" spans="1:15" ht="15" customHeight="1">
      <c r="A39" s="104" t="s">
        <v>13</v>
      </c>
      <c r="B39" s="110">
        <v>-84.966517593138008</v>
      </c>
      <c r="C39" s="110">
        <v>-65.461945173362977</v>
      </c>
      <c r="D39" s="110">
        <v>-66.208698242673989</v>
      </c>
      <c r="E39" s="110">
        <v>-74.43820189402004</v>
      </c>
      <c r="F39" s="169">
        <v>-88.03708329123198</v>
      </c>
      <c r="G39" s="169">
        <v>-62.819813030108051</v>
      </c>
      <c r="H39" s="169">
        <v>-59.589171609849899</v>
      </c>
      <c r="I39" s="169">
        <v>-61.494539262320018</v>
      </c>
      <c r="J39" s="321">
        <v>-29.571472484340802</v>
      </c>
      <c r="K39" s="321">
        <v>-25.176860436970998</v>
      </c>
      <c r="L39" s="321">
        <v>0</v>
      </c>
      <c r="M39" s="321"/>
      <c r="O39" s="229"/>
    </row>
    <row r="40" spans="1:15" ht="15" customHeight="1">
      <c r="A40" s="104" t="s">
        <v>17</v>
      </c>
      <c r="B40" s="110">
        <v>-59.569089533499792</v>
      </c>
      <c r="C40" s="110">
        <v>-66.7940960345002</v>
      </c>
      <c r="D40" s="110">
        <v>-65.918134662399993</v>
      </c>
      <c r="E40" s="110">
        <v>-75.503147209800005</v>
      </c>
      <c r="F40" s="169">
        <v>-87.041119503899921</v>
      </c>
      <c r="G40" s="169">
        <v>-87.900366823100086</v>
      </c>
      <c r="H40" s="169">
        <v>-94.148846610999954</v>
      </c>
      <c r="I40" s="169">
        <v>-104.1830455293001</v>
      </c>
      <c r="J40" s="321">
        <v>-100.40470924802759</v>
      </c>
      <c r="K40" s="321">
        <v>-97.115163454652418</v>
      </c>
      <c r="L40" s="321">
        <v>-84.486228838204056</v>
      </c>
      <c r="M40" s="321"/>
      <c r="O40" s="229"/>
    </row>
    <row r="41" spans="1:15" ht="15" customHeight="1">
      <c r="A41" s="104" t="s">
        <v>609</v>
      </c>
      <c r="B41" s="110">
        <v>-102.28432068399997</v>
      </c>
      <c r="C41" s="110">
        <v>-98.073721094400014</v>
      </c>
      <c r="D41" s="110">
        <v>-96.137810071600029</v>
      </c>
      <c r="E41" s="110">
        <v>-97.602009012100098</v>
      </c>
      <c r="F41" s="169">
        <v>-96.564382475399995</v>
      </c>
      <c r="G41" s="169">
        <v>-92.356882343899983</v>
      </c>
      <c r="H41" s="169">
        <v>-124.83478944730004</v>
      </c>
      <c r="I41" s="169">
        <v>-66.725430964281372</v>
      </c>
      <c r="J41" s="321">
        <v>-95.240232612091859</v>
      </c>
      <c r="K41" s="321">
        <v>-91.152385156046535</v>
      </c>
      <c r="L41" s="321">
        <v>-90.388266799404278</v>
      </c>
      <c r="M41" s="321"/>
      <c r="O41" s="229"/>
    </row>
    <row r="42" spans="1:15" ht="15" customHeight="1">
      <c r="A42" s="104" t="s">
        <v>620</v>
      </c>
      <c r="B42" s="110">
        <v>-43.549482613063006</v>
      </c>
      <c r="C42" s="110">
        <v>-42.822808797568982</v>
      </c>
      <c r="D42" s="110">
        <v>-42.404730795536977</v>
      </c>
      <c r="E42" s="110">
        <v>-44.86853716227705</v>
      </c>
      <c r="F42" s="169">
        <v>-44.490477048571996</v>
      </c>
      <c r="G42" s="169">
        <v>-46.172622442374013</v>
      </c>
      <c r="H42" s="169">
        <v>-50.136954170667948</v>
      </c>
      <c r="I42" s="169">
        <v>-54.819356494603568</v>
      </c>
      <c r="J42" s="321">
        <v>-64.323185986399182</v>
      </c>
      <c r="K42" s="321">
        <v>-64.233460588211955</v>
      </c>
      <c r="L42" s="321">
        <v>-64.838562929150015</v>
      </c>
      <c r="M42" s="321"/>
      <c r="O42" s="229"/>
    </row>
    <row r="43" spans="1:15" ht="15" customHeight="1">
      <c r="A43" s="104" t="s">
        <v>608</v>
      </c>
      <c r="B43" s="110">
        <v>-490.91285425299702</v>
      </c>
      <c r="C43" s="110">
        <v>-489.14328291311301</v>
      </c>
      <c r="D43" s="110">
        <v>-557.02669301749677</v>
      </c>
      <c r="E43" s="110">
        <v>-691.14898050685315</v>
      </c>
      <c r="F43" s="169">
        <v>-721.01298954637195</v>
      </c>
      <c r="G43" s="169">
        <v>-732.67469613697403</v>
      </c>
      <c r="H43" s="169">
        <v>-792.85888853463257</v>
      </c>
      <c r="I43" s="169">
        <v>-865.08913115032146</v>
      </c>
      <c r="J43" s="321">
        <v>-914.21653926019007</v>
      </c>
      <c r="K43" s="321">
        <v>-919.65856124366496</v>
      </c>
      <c r="L43" s="321">
        <v>-1003.1771309262047</v>
      </c>
      <c r="M43" s="321"/>
      <c r="O43" s="229"/>
    </row>
    <row r="44" spans="1:15" ht="15" customHeight="1">
      <c r="A44" s="104" t="s">
        <v>638</v>
      </c>
      <c r="B44" s="110">
        <v>-67.598482337499973</v>
      </c>
      <c r="C44" s="110">
        <v>-53.631116441600028</v>
      </c>
      <c r="D44" s="110">
        <v>-53.459788161345955</v>
      </c>
      <c r="E44" s="110">
        <v>-75.708958891121938</v>
      </c>
      <c r="F44" s="169">
        <v>-70.547143461243962</v>
      </c>
      <c r="G44" s="169">
        <v>-67.567926843580068</v>
      </c>
      <c r="H44" s="169">
        <v>-67.81238460608779</v>
      </c>
      <c r="I44" s="169">
        <v>-64.885215440938282</v>
      </c>
      <c r="J44" s="321">
        <v>-67.772117893316022</v>
      </c>
      <c r="K44" s="321">
        <v>-65.865948728250885</v>
      </c>
      <c r="L44" s="321">
        <v>-67.071744209526116</v>
      </c>
      <c r="M44" s="321"/>
      <c r="O44" s="229"/>
    </row>
    <row r="45" spans="1:15" ht="15" customHeight="1">
      <c r="A45" s="104" t="s">
        <v>498</v>
      </c>
      <c r="B45" s="110">
        <v>-82.081575651890006</v>
      </c>
      <c r="C45" s="110">
        <v>-75.011699048047973</v>
      </c>
      <c r="D45" s="110">
        <v>-78.136919923141932</v>
      </c>
      <c r="E45" s="110">
        <v>-82.525221208059861</v>
      </c>
      <c r="F45" s="169">
        <v>-98.887438872438054</v>
      </c>
      <c r="G45" s="169">
        <v>-102.09184730468593</v>
      </c>
      <c r="H45" s="169">
        <v>-115.69139971409606</v>
      </c>
      <c r="I45" s="169">
        <v>-108.12741966818999</v>
      </c>
      <c r="J45" s="321">
        <v>-108.11794576838406</v>
      </c>
      <c r="K45" s="321">
        <v>-106.78679531963792</v>
      </c>
      <c r="L45" s="321">
        <v>-122.44722877676793</v>
      </c>
      <c r="M45" s="321"/>
      <c r="O45" s="229"/>
    </row>
    <row r="46" spans="1:15" ht="15" customHeight="1">
      <c r="A46" s="104" t="s">
        <v>26</v>
      </c>
      <c r="B46" s="110">
        <v>-29.793744312732997</v>
      </c>
      <c r="C46" s="110">
        <v>-35.813838799494022</v>
      </c>
      <c r="D46" s="110">
        <v>-43.041333434294984</v>
      </c>
      <c r="E46" s="110">
        <v>-56.168609160832091</v>
      </c>
      <c r="F46" s="169">
        <v>-58.957386021678985</v>
      </c>
      <c r="G46" s="169">
        <v>-60.18777542920003</v>
      </c>
      <c r="H46" s="169">
        <v>-62.174731020040838</v>
      </c>
      <c r="I46" s="169">
        <v>-44.153087037976093</v>
      </c>
      <c r="J46" s="321">
        <v>-60.178985995682979</v>
      </c>
      <c r="K46" s="321">
        <v>-63.509617458463083</v>
      </c>
      <c r="L46" s="321">
        <v>-109.81280935553599</v>
      </c>
      <c r="M46" s="321"/>
      <c r="O46" s="229"/>
    </row>
    <row r="47" spans="1:15" ht="15" customHeight="1">
      <c r="A47" s="104" t="s">
        <v>45</v>
      </c>
      <c r="B47" s="110">
        <v>-52.553648353887041</v>
      </c>
      <c r="C47" s="110">
        <v>-54.191340549121861</v>
      </c>
      <c r="D47" s="110">
        <v>-56.589267118998919</v>
      </c>
      <c r="E47" s="110">
        <v>-67.959887390317022</v>
      </c>
      <c r="F47" s="169">
        <v>-76.68541396406431</v>
      </c>
      <c r="G47" s="169">
        <v>-76.017432599844767</v>
      </c>
      <c r="H47" s="169">
        <v>-79.781801751856932</v>
      </c>
      <c r="I47" s="169">
        <v>-83.341487019186019</v>
      </c>
      <c r="J47" s="321">
        <v>-80.174365564088987</v>
      </c>
      <c r="K47" s="321">
        <v>-62.299067268153976</v>
      </c>
      <c r="L47" s="321">
        <v>-63.640902807192049</v>
      </c>
      <c r="M47" s="321"/>
      <c r="O47" s="229"/>
    </row>
    <row r="48" spans="1:15" ht="15" customHeight="1">
      <c r="A48" s="104" t="s">
        <v>613</v>
      </c>
      <c r="B48" s="110">
        <v>-2.1679430079999995</v>
      </c>
      <c r="C48" s="110">
        <v>-1.4733882020000006</v>
      </c>
      <c r="D48" s="110">
        <v>-2.0171197410000006</v>
      </c>
      <c r="E48" s="110">
        <v>-64.29620591631199</v>
      </c>
      <c r="F48" s="169">
        <v>-88.533824543999998</v>
      </c>
      <c r="G48" s="169">
        <v>-58.698004052075987</v>
      </c>
      <c r="H48" s="169">
        <v>-72.309440435465973</v>
      </c>
      <c r="I48" s="169">
        <v>-72.731143482065988</v>
      </c>
      <c r="J48" s="321">
        <v>-81.85808296967798</v>
      </c>
      <c r="K48" s="321">
        <v>-56.049065107690012</v>
      </c>
      <c r="L48" s="321">
        <v>-77.197891320435929</v>
      </c>
      <c r="M48" s="321"/>
      <c r="O48" s="229"/>
    </row>
    <row r="49" spans="1:15" ht="15" customHeight="1">
      <c r="A49" s="104" t="s">
        <v>380</v>
      </c>
      <c r="B49" s="110">
        <v>-18.829319801910003</v>
      </c>
      <c r="C49" s="110">
        <v>-14.332179845021955</v>
      </c>
      <c r="D49" s="110">
        <v>-14.262780237882026</v>
      </c>
      <c r="E49" s="110">
        <v>-14.236690205537968</v>
      </c>
      <c r="F49" s="169">
        <v>-13.972953265351009</v>
      </c>
      <c r="G49" s="169">
        <v>-13.59444622899403</v>
      </c>
      <c r="H49" s="169">
        <v>-14.987378311684921</v>
      </c>
      <c r="I49" s="169">
        <v>-16.131656222702077</v>
      </c>
      <c r="J49" s="321">
        <v>-12.247162692442004</v>
      </c>
      <c r="K49" s="321">
        <v>-12.801834761663002</v>
      </c>
      <c r="L49" s="321">
        <v>-12.303749826476974</v>
      </c>
      <c r="M49" s="321"/>
      <c r="O49" s="229"/>
    </row>
    <row r="50" spans="1:15" ht="15" customHeight="1">
      <c r="A50" s="104" t="s">
        <v>135</v>
      </c>
      <c r="B50" s="110">
        <v>-21.20196246335</v>
      </c>
      <c r="C50" s="110">
        <v>-20.959619052402005</v>
      </c>
      <c r="D50" s="110">
        <v>-29.442915830419963</v>
      </c>
      <c r="E50" s="110">
        <v>-35.482732764253115</v>
      </c>
      <c r="F50" s="169">
        <v>-28.198371638383989</v>
      </c>
      <c r="G50" s="169">
        <v>-35.620516732007999</v>
      </c>
      <c r="H50" s="169">
        <v>-46.872399551514007</v>
      </c>
      <c r="I50" s="169">
        <v>-50.460403111147969</v>
      </c>
      <c r="J50" s="321">
        <v>-62.330590738570208</v>
      </c>
      <c r="K50" s="321">
        <v>-75.250107948105779</v>
      </c>
      <c r="L50" s="321">
        <v>-74.30955122942305</v>
      </c>
      <c r="M50" s="321"/>
      <c r="O50" s="229"/>
    </row>
    <row r="51" spans="1:15" ht="15" customHeight="1">
      <c r="A51" s="104" t="s">
        <v>410</v>
      </c>
      <c r="B51" s="110">
        <v>1.0737333333333301</v>
      </c>
      <c r="C51" s="110">
        <v>1.0737333333333399</v>
      </c>
      <c r="D51" s="110">
        <v>1.1719924114728304</v>
      </c>
      <c r="E51" s="110">
        <v>1.0968532551938299</v>
      </c>
      <c r="F51" s="169">
        <v>3.27004566666667</v>
      </c>
      <c r="G51" s="169">
        <v>-1.122579</v>
      </c>
      <c r="H51" s="169">
        <v>1.0738638333333301</v>
      </c>
      <c r="I51" s="169">
        <v>1.3035369232204999</v>
      </c>
      <c r="J51" s="321">
        <v>1.0737768533333301</v>
      </c>
      <c r="K51" s="321">
        <v>0.51873333333333993</v>
      </c>
      <c r="L51" s="321">
        <v>0.51873333333332994</v>
      </c>
      <c r="M51" s="321"/>
      <c r="O51" s="229"/>
    </row>
    <row r="52" spans="1:15" ht="18" customHeight="1">
      <c r="A52" s="101" t="s">
        <v>714</v>
      </c>
      <c r="B52" s="113">
        <v>-1376.9134607732483</v>
      </c>
      <c r="C52" s="113">
        <v>-1296.8078430410603</v>
      </c>
      <c r="D52" s="113">
        <v>-1424.0498087446526</v>
      </c>
      <c r="E52" s="113">
        <v>-1694.4178526579817</v>
      </c>
      <c r="F52" s="171">
        <v>-1779.1815176738794</v>
      </c>
      <c r="G52" s="171">
        <v>-1743.6392806455603</v>
      </c>
      <c r="H52" s="171">
        <v>-1893.235586257867</v>
      </c>
      <c r="I52" s="171">
        <v>-1917.6302160172918</v>
      </c>
      <c r="J52" s="334">
        <v>-2011.8465999877162</v>
      </c>
      <c r="K52" s="334">
        <v>-1954.016699438459</v>
      </c>
      <c r="L52" s="334">
        <v>-2090.3257733272594</v>
      </c>
      <c r="M52" s="334"/>
      <c r="O52" s="229"/>
    </row>
    <row r="53" spans="1:15" ht="18" customHeight="1">
      <c r="A53" s="101" t="s">
        <v>507</v>
      </c>
      <c r="B53" s="113">
        <v>-3717.9192150808685</v>
      </c>
      <c r="C53" s="113">
        <v>-3735.6746746915214</v>
      </c>
      <c r="D53" s="113">
        <v>-3872.245960229689</v>
      </c>
      <c r="E53" s="113">
        <v>-4203.5445721539645</v>
      </c>
      <c r="F53" s="171">
        <v>-4179.9011026530288</v>
      </c>
      <c r="G53" s="171">
        <v>-4336.4368758676119</v>
      </c>
      <c r="H53" s="171">
        <v>-4784.6064121966783</v>
      </c>
      <c r="I53" s="171">
        <v>-5082.8970510264053</v>
      </c>
      <c r="J53" s="334">
        <v>-5043.5941431867495</v>
      </c>
      <c r="K53" s="334">
        <v>-4839.698076539481</v>
      </c>
      <c r="L53" s="334">
        <v>-5073.1140164597882</v>
      </c>
      <c r="M53" s="334"/>
      <c r="O53" s="229"/>
    </row>
    <row r="54" spans="1:15" ht="15" customHeight="1" thickBot="1">
      <c r="A54" s="361"/>
      <c r="B54" s="427"/>
      <c r="C54" s="427"/>
      <c r="D54" s="427"/>
      <c r="E54" s="427"/>
      <c r="F54" s="361"/>
      <c r="G54" s="361"/>
      <c r="H54" s="361"/>
      <c r="I54" s="361"/>
      <c r="J54" s="361"/>
      <c r="K54" s="361"/>
      <c r="L54" s="361"/>
      <c r="M54" s="361"/>
      <c r="O54" s="229"/>
    </row>
    <row r="55" spans="1:15" ht="15" customHeight="1">
      <c r="A55" s="559" t="s">
        <v>713</v>
      </c>
      <c r="B55" s="110"/>
      <c r="C55" s="110"/>
      <c r="D55" s="110"/>
      <c r="E55" s="110"/>
      <c r="F55" s="169"/>
      <c r="G55" s="169"/>
      <c r="H55" s="169"/>
      <c r="I55" s="169"/>
      <c r="J55" s="321"/>
      <c r="K55" s="321"/>
      <c r="L55" s="321"/>
      <c r="M55" s="321"/>
      <c r="O55" s="229"/>
    </row>
    <row r="56" spans="1:15" ht="15" customHeight="1">
      <c r="A56" s="104" t="s">
        <v>543</v>
      </c>
      <c r="B56" s="110">
        <v>-102.343421723958</v>
      </c>
      <c r="C56" s="110">
        <v>-102.63770714175199</v>
      </c>
      <c r="D56" s="110">
        <v>-115.82524827091498</v>
      </c>
      <c r="E56" s="110">
        <v>-105.96390855054301</v>
      </c>
      <c r="F56" s="169">
        <v>-100.552896206201</v>
      </c>
      <c r="G56" s="169">
        <v>-94.922728366752992</v>
      </c>
      <c r="H56" s="169">
        <v>-123.61213436870801</v>
      </c>
      <c r="I56" s="169">
        <v>-62.232323379755996</v>
      </c>
      <c r="J56" s="321">
        <v>-82.537404420202492</v>
      </c>
      <c r="K56" s="321">
        <v>-76.799479498425526</v>
      </c>
      <c r="L56" s="321">
        <v>-80.864060644545987</v>
      </c>
      <c r="M56" s="321"/>
      <c r="O56" s="229"/>
    </row>
    <row r="57" spans="1:15" ht="15" customHeight="1">
      <c r="A57" s="104" t="s">
        <v>58</v>
      </c>
      <c r="B57" s="110">
        <v>-721.03506740872206</v>
      </c>
      <c r="C57" s="110">
        <v>-732.29229763547789</v>
      </c>
      <c r="D57" s="110">
        <v>-798.78175791898025</v>
      </c>
      <c r="E57" s="110">
        <v>-987.42093157448971</v>
      </c>
      <c r="F57" s="169">
        <v>-1025.1723133023399</v>
      </c>
      <c r="G57" s="169">
        <v>-1046.5204547557298</v>
      </c>
      <c r="H57" s="169">
        <v>-1126.6604839962702</v>
      </c>
      <c r="I57" s="169">
        <v>-1205.5104552255593</v>
      </c>
      <c r="J57" s="321">
        <v>-1258.6331517655301</v>
      </c>
      <c r="K57" s="321">
        <v>-1250.3113364647199</v>
      </c>
      <c r="L57" s="321">
        <v>-1388.7926568569701</v>
      </c>
      <c r="M57" s="321"/>
      <c r="O57" s="229"/>
    </row>
    <row r="58" spans="1:15" ht="15" customHeight="1">
      <c r="A58" s="104" t="s">
        <v>54</v>
      </c>
      <c r="B58" s="110">
        <v>-3.5160278209875</v>
      </c>
      <c r="C58" s="110">
        <v>-3.4402956245125007</v>
      </c>
      <c r="D58" s="110">
        <v>-3.4503031385000007</v>
      </c>
      <c r="E58" s="110">
        <v>-50.940754436015496</v>
      </c>
      <c r="F58" s="169">
        <v>-60.401814398873405</v>
      </c>
      <c r="G58" s="169">
        <v>-59.244456055358604</v>
      </c>
      <c r="H58" s="169">
        <v>-66.007277670882999</v>
      </c>
      <c r="I58" s="169">
        <v>-83.407208311864991</v>
      </c>
      <c r="J58" s="321">
        <v>-69.222925713175599</v>
      </c>
      <c r="K58" s="321">
        <v>-67.03148444018241</v>
      </c>
      <c r="L58" s="321">
        <v>-67.857106108452001</v>
      </c>
      <c r="M58" s="321"/>
      <c r="O58" s="229"/>
    </row>
    <row r="59" spans="1:15" ht="18" customHeight="1">
      <c r="A59" s="101" t="s">
        <v>555</v>
      </c>
      <c r="B59" s="113">
        <v>-826.89451695366756</v>
      </c>
      <c r="C59" s="113">
        <v>-838.37030040174227</v>
      </c>
      <c r="D59" s="113">
        <v>-918.0573093283956</v>
      </c>
      <c r="E59" s="113">
        <v>-1144.3255945610476</v>
      </c>
      <c r="F59" s="171">
        <v>-1186.1270239074145</v>
      </c>
      <c r="G59" s="171">
        <v>-1200.6876391778412</v>
      </c>
      <c r="H59" s="171">
        <v>-1316.2798960358609</v>
      </c>
      <c r="I59" s="171">
        <v>-1351.1499869171812</v>
      </c>
      <c r="J59" s="334">
        <v>-1410.393481898908</v>
      </c>
      <c r="K59" s="334">
        <v>-1394.1423004033284</v>
      </c>
      <c r="L59" s="334">
        <v>-1537.5138236099679</v>
      </c>
      <c r="M59" s="334"/>
      <c r="O59" s="229"/>
    </row>
    <row r="60" spans="1:15" ht="15" customHeight="1"/>
    <row r="61" spans="1:15" ht="15" customHeight="1">
      <c r="A61" s="31"/>
    </row>
  </sheetData>
  <mergeCells count="6">
    <mergeCell ref="J4:M4"/>
    <mergeCell ref="J17:M17"/>
    <mergeCell ref="F4:I4"/>
    <mergeCell ref="F17:I17"/>
    <mergeCell ref="B4:E4"/>
    <mergeCell ref="B17:E17"/>
  </mergeCells>
  <phoneticPr fontId="16" type="noConversion"/>
  <pageMargins left="0.62" right="0.46" top="0.26" bottom="0.22" header="0.19" footer="0.17"/>
  <pageSetup paperSize="9" scale="57" orientation="landscape" r:id="rId1"/>
  <headerFooter alignWithMargins="0"/>
  <customProperties>
    <customPr name="ConnName"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3" enableFormatConditionsCalculation="0">
    <tabColor indexed="25"/>
    <pageSetUpPr fitToPage="1"/>
  </sheetPr>
  <dimension ref="A1:O65"/>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13.7109375" customWidth="1"/>
  </cols>
  <sheetData>
    <row r="1" spans="1:15" ht="15" customHeight="1">
      <c r="A1" s="1"/>
    </row>
    <row r="2" spans="1:15" ht="15" customHeight="1">
      <c r="A2" s="1"/>
    </row>
    <row r="3" spans="1:15" ht="15" customHeight="1" thickBot="1">
      <c r="A3" s="92" t="s">
        <v>64</v>
      </c>
      <c r="B3" s="93"/>
      <c r="C3" s="93"/>
      <c r="D3" s="93"/>
      <c r="E3" s="93"/>
      <c r="F3" s="93"/>
      <c r="G3" s="93"/>
      <c r="H3" s="93"/>
      <c r="I3" s="93"/>
      <c r="J3" s="93"/>
      <c r="K3" s="93"/>
      <c r="L3" s="93"/>
      <c r="M3" s="93"/>
    </row>
    <row r="4" spans="1:15" ht="15" customHeight="1" thickBot="1">
      <c r="A4" s="78" t="s">
        <v>33</v>
      </c>
      <c r="B4" s="576">
        <v>2014</v>
      </c>
      <c r="C4" s="577"/>
      <c r="D4" s="577"/>
      <c r="E4" s="578"/>
      <c r="F4" s="579">
        <v>2015</v>
      </c>
      <c r="G4" s="580"/>
      <c r="H4" s="580"/>
      <c r="I4" s="581"/>
      <c r="J4" s="582">
        <v>2016</v>
      </c>
      <c r="K4" s="583"/>
      <c r="L4" s="583"/>
      <c r="M4" s="583"/>
    </row>
    <row r="5" spans="1:15" ht="15" customHeight="1" thickBot="1">
      <c r="A5" s="79" t="s">
        <v>527</v>
      </c>
      <c r="B5" s="290" t="s">
        <v>510</v>
      </c>
      <c r="C5" s="290" t="s">
        <v>511</v>
      </c>
      <c r="D5" s="290" t="s">
        <v>513</v>
      </c>
      <c r="E5" s="291" t="s">
        <v>514</v>
      </c>
      <c r="F5" s="311" t="s">
        <v>510</v>
      </c>
      <c r="G5" s="311" t="s">
        <v>511</v>
      </c>
      <c r="H5" s="311" t="s">
        <v>513</v>
      </c>
      <c r="I5" s="312" t="s">
        <v>514</v>
      </c>
      <c r="J5" s="237" t="s">
        <v>510</v>
      </c>
      <c r="K5" s="237" t="s">
        <v>511</v>
      </c>
      <c r="L5" s="237" t="s">
        <v>513</v>
      </c>
      <c r="M5" s="292" t="s">
        <v>514</v>
      </c>
    </row>
    <row r="6" spans="1:15" ht="15" customHeight="1">
      <c r="A6" s="83" t="s">
        <v>47</v>
      </c>
      <c r="B6" s="110">
        <v>1048.15260747</v>
      </c>
      <c r="C6" s="110">
        <v>991.47364077167003</v>
      </c>
      <c r="D6" s="110">
        <v>988.49029983458968</v>
      </c>
      <c r="E6" s="110">
        <v>1181.6686657225796</v>
      </c>
      <c r="F6" s="169">
        <v>847.62532724000005</v>
      </c>
      <c r="G6" s="169">
        <v>1039.2030585299999</v>
      </c>
      <c r="H6" s="169">
        <v>1009.44351755</v>
      </c>
      <c r="I6" s="169">
        <v>1947.9415450200004</v>
      </c>
      <c r="J6" s="321">
        <v>908.23166499100012</v>
      </c>
      <c r="K6" s="321">
        <v>1183.9512341299999</v>
      </c>
      <c r="L6" s="321">
        <v>1182.49290737</v>
      </c>
      <c r="M6" s="321"/>
      <c r="O6" s="229"/>
    </row>
    <row r="7" spans="1:15" ht="15" customHeight="1">
      <c r="A7" s="83" t="s">
        <v>23</v>
      </c>
      <c r="B7" s="110">
        <v>268.61944517411206</v>
      </c>
      <c r="C7" s="110">
        <v>404.43104414907197</v>
      </c>
      <c r="D7" s="110">
        <v>317.99512534011592</v>
      </c>
      <c r="E7" s="110">
        <v>515.56410799312005</v>
      </c>
      <c r="F7" s="169">
        <v>307.61215387752497</v>
      </c>
      <c r="G7" s="169">
        <v>347.83906886291504</v>
      </c>
      <c r="H7" s="169">
        <v>254.63433976656609</v>
      </c>
      <c r="I7" s="169">
        <v>391.93555738223392</v>
      </c>
      <c r="J7" s="321">
        <v>335.63182813755105</v>
      </c>
      <c r="K7" s="321">
        <v>335.94236311170192</v>
      </c>
      <c r="L7" s="321">
        <v>295.49284899322697</v>
      </c>
      <c r="M7" s="321"/>
      <c r="O7" s="229"/>
    </row>
    <row r="8" spans="1:15" ht="15" customHeight="1">
      <c r="A8" s="83" t="s">
        <v>13</v>
      </c>
      <c r="B8" s="110">
        <v>143.74179050000001</v>
      </c>
      <c r="C8" s="110">
        <v>112.14021009999999</v>
      </c>
      <c r="D8" s="110">
        <v>102.82977500000007</v>
      </c>
      <c r="E8" s="110">
        <v>155.67500119999994</v>
      </c>
      <c r="F8" s="169">
        <v>134.05190489999998</v>
      </c>
      <c r="G8" s="169">
        <v>127.82304360000003</v>
      </c>
      <c r="H8" s="169">
        <v>71.068571500000019</v>
      </c>
      <c r="I8" s="169">
        <v>164.22494760000001</v>
      </c>
      <c r="J8" s="321">
        <v>118.2818008</v>
      </c>
      <c r="K8" s="321">
        <v>84.320794555999996</v>
      </c>
      <c r="L8" s="321">
        <v>45.242052210000026</v>
      </c>
      <c r="M8" s="321"/>
      <c r="O8" s="229"/>
    </row>
    <row r="9" spans="1:15" ht="15" customHeight="1">
      <c r="A9" s="83" t="s">
        <v>17</v>
      </c>
      <c r="B9" s="110">
        <v>53.734801399999995</v>
      </c>
      <c r="C9" s="110">
        <v>68.1836986</v>
      </c>
      <c r="D9" s="110">
        <v>82.129222800000036</v>
      </c>
      <c r="E9" s="110">
        <v>1022.4545107000001</v>
      </c>
      <c r="F9" s="169">
        <v>67.343217700000011</v>
      </c>
      <c r="G9" s="169">
        <v>87.380046899999982</v>
      </c>
      <c r="H9" s="169">
        <v>69.501568400000025</v>
      </c>
      <c r="I9" s="169">
        <v>89.748495100000042</v>
      </c>
      <c r="J9" s="321">
        <v>46.192825131639502</v>
      </c>
      <c r="K9" s="321">
        <v>76.930642148360505</v>
      </c>
      <c r="L9" s="321">
        <v>103.84185768399999</v>
      </c>
      <c r="M9" s="321"/>
      <c r="O9" s="229"/>
    </row>
    <row r="10" spans="1:15" ht="15" customHeight="1">
      <c r="A10" s="83" t="s">
        <v>609</v>
      </c>
      <c r="B10" s="110">
        <v>48.611381000000002</v>
      </c>
      <c r="C10" s="110">
        <v>41.2081867148</v>
      </c>
      <c r="D10" s="110">
        <v>218.01523628520002</v>
      </c>
      <c r="E10" s="110">
        <v>372.68805848899996</v>
      </c>
      <c r="F10" s="169">
        <v>112.5391722</v>
      </c>
      <c r="G10" s="169">
        <v>92.857408467200003</v>
      </c>
      <c r="H10" s="169">
        <v>84.120638589999999</v>
      </c>
      <c r="I10" s="169">
        <v>235.61139316980001</v>
      </c>
      <c r="J10" s="321">
        <v>33.019309065599998</v>
      </c>
      <c r="K10" s="321">
        <v>86.228284128875998</v>
      </c>
      <c r="L10" s="321">
        <v>46.695949779909</v>
      </c>
      <c r="M10" s="321"/>
      <c r="O10" s="229"/>
    </row>
    <row r="11" spans="1:15" ht="15" customHeight="1">
      <c r="A11" s="83" t="s">
        <v>620</v>
      </c>
      <c r="B11" s="110">
        <v>59.942208000899996</v>
      </c>
      <c r="C11" s="110">
        <v>76.873100099099986</v>
      </c>
      <c r="D11" s="110">
        <v>64.990319395480014</v>
      </c>
      <c r="E11" s="110">
        <v>119.88140234652002</v>
      </c>
      <c r="F11" s="169">
        <v>105.1581417412</v>
      </c>
      <c r="G11" s="169">
        <v>101.7882670673</v>
      </c>
      <c r="H11" s="169">
        <v>110.04350856800005</v>
      </c>
      <c r="I11" s="169">
        <v>458.8847701135</v>
      </c>
      <c r="J11" s="321">
        <v>82.430313599999991</v>
      </c>
      <c r="K11" s="321">
        <v>97.772263075000026</v>
      </c>
      <c r="L11" s="321">
        <v>180.49460114400003</v>
      </c>
      <c r="M11" s="321"/>
      <c r="O11" s="229"/>
    </row>
    <row r="12" spans="1:15" ht="15" customHeight="1">
      <c r="A12" s="83" t="s">
        <v>608</v>
      </c>
      <c r="B12" s="110">
        <v>554.14975200000003</v>
      </c>
      <c r="C12" s="110">
        <v>858.38154999999983</v>
      </c>
      <c r="D12" s="110">
        <v>404.83103870000014</v>
      </c>
      <c r="E12" s="110">
        <v>904.03415730000006</v>
      </c>
      <c r="F12" s="169">
        <v>1313.5703713</v>
      </c>
      <c r="G12" s="169">
        <v>730.65923589999989</v>
      </c>
      <c r="H12" s="169">
        <v>1788.7795040401602</v>
      </c>
      <c r="I12" s="169">
        <v>932.75516925984039</v>
      </c>
      <c r="J12" s="321">
        <v>1139.1258049999999</v>
      </c>
      <c r="K12" s="321">
        <v>1003.2254673290001</v>
      </c>
      <c r="L12" s="321">
        <v>1279.7891409029999</v>
      </c>
      <c r="M12" s="321"/>
      <c r="O12" s="229"/>
    </row>
    <row r="13" spans="1:15" ht="15" customHeight="1">
      <c r="A13" s="83" t="s">
        <v>638</v>
      </c>
      <c r="B13" s="110">
        <v>372.43752500000005</v>
      </c>
      <c r="C13" s="110">
        <v>356.18735228799994</v>
      </c>
      <c r="D13" s="110">
        <v>534.006833712</v>
      </c>
      <c r="E13" s="110">
        <v>478.6500403</v>
      </c>
      <c r="F13" s="169">
        <v>412.16792399999997</v>
      </c>
      <c r="G13" s="169">
        <v>425.099884549747</v>
      </c>
      <c r="H13" s="169">
        <v>454.17037790312281</v>
      </c>
      <c r="I13" s="169">
        <v>578.28762003536008</v>
      </c>
      <c r="J13" s="321">
        <v>351.40208329546499</v>
      </c>
      <c r="K13" s="321">
        <v>344.20980072700206</v>
      </c>
      <c r="L13" s="321">
        <v>416.32573676435288</v>
      </c>
      <c r="M13" s="321"/>
      <c r="O13" s="229"/>
    </row>
    <row r="14" spans="1:15" ht="15" customHeight="1">
      <c r="A14" s="83" t="s">
        <v>498</v>
      </c>
      <c r="B14" s="110">
        <v>217.051872</v>
      </c>
      <c r="C14" s="110">
        <v>285.1553748</v>
      </c>
      <c r="D14" s="110">
        <v>229.61197799999991</v>
      </c>
      <c r="E14" s="110">
        <v>500.42552579999995</v>
      </c>
      <c r="F14" s="169">
        <v>370.12578149999996</v>
      </c>
      <c r="G14" s="169">
        <v>637.55657500000007</v>
      </c>
      <c r="H14" s="169">
        <v>487.99775369999998</v>
      </c>
      <c r="I14" s="169">
        <v>500.6878494</v>
      </c>
      <c r="J14" s="321">
        <v>1004.3698528</v>
      </c>
      <c r="K14" s="321">
        <v>461.56398097600004</v>
      </c>
      <c r="L14" s="321">
        <v>225.96145850895982</v>
      </c>
      <c r="M14" s="321"/>
      <c r="O14" s="229"/>
    </row>
    <row r="15" spans="1:15" ht="15" customHeight="1">
      <c r="A15" s="83" t="s">
        <v>26</v>
      </c>
      <c r="B15" s="110">
        <v>201.64844969999999</v>
      </c>
      <c r="C15" s="110">
        <v>1007.8007165</v>
      </c>
      <c r="D15" s="110">
        <v>450.75531980000005</v>
      </c>
      <c r="E15" s="110">
        <v>641.18195719999949</v>
      </c>
      <c r="F15" s="169">
        <v>325.73174949900005</v>
      </c>
      <c r="G15" s="169">
        <v>292.21932687459997</v>
      </c>
      <c r="H15" s="169">
        <v>266.05940712879999</v>
      </c>
      <c r="I15" s="169">
        <v>558.4630472911</v>
      </c>
      <c r="J15" s="321">
        <v>315.457247</v>
      </c>
      <c r="K15" s="321">
        <v>3687.9932676875001</v>
      </c>
      <c r="L15" s="321">
        <v>306.68646395450014</v>
      </c>
      <c r="M15" s="321"/>
      <c r="O15" s="229"/>
    </row>
    <row r="16" spans="1:15" ht="15" customHeight="1">
      <c r="A16" s="83" t="s">
        <v>45</v>
      </c>
      <c r="B16" s="110">
        <v>116.982329243809</v>
      </c>
      <c r="C16" s="110">
        <v>129.838186273557</v>
      </c>
      <c r="D16" s="110">
        <v>996.59559338263421</v>
      </c>
      <c r="E16" s="110">
        <v>130.44119874609987</v>
      </c>
      <c r="F16" s="169">
        <v>108.73296407922901</v>
      </c>
      <c r="G16" s="169">
        <v>252.90937975039395</v>
      </c>
      <c r="H16" s="169">
        <v>195.1907820925129</v>
      </c>
      <c r="I16" s="169">
        <v>489.42509419063413</v>
      </c>
      <c r="J16" s="321">
        <v>408.53629595812998</v>
      </c>
      <c r="K16" s="321">
        <v>203.17836562938299</v>
      </c>
      <c r="L16" s="321">
        <v>185.9769771099551</v>
      </c>
      <c r="M16" s="321"/>
      <c r="O16" s="229"/>
    </row>
    <row r="17" spans="1:15" ht="15" customHeight="1">
      <c r="A17" s="83" t="s">
        <v>613</v>
      </c>
      <c r="B17" s="110">
        <v>3203.4215241379998</v>
      </c>
      <c r="C17" s="110">
        <v>275.32495646700045</v>
      </c>
      <c r="D17" s="110">
        <v>204.29367091699942</v>
      </c>
      <c r="E17" s="110">
        <v>598.12055671600001</v>
      </c>
      <c r="F17" s="169">
        <v>441.77821694028</v>
      </c>
      <c r="G17" s="169">
        <v>862.68505259571987</v>
      </c>
      <c r="H17" s="169">
        <v>1334.3577753151201</v>
      </c>
      <c r="I17" s="169">
        <v>741.02186071683991</v>
      </c>
      <c r="J17" s="321">
        <v>564.74611110863498</v>
      </c>
      <c r="K17" s="321">
        <v>766.47630153748514</v>
      </c>
      <c r="L17" s="321">
        <v>614.24732378575982</v>
      </c>
      <c r="M17" s="321"/>
      <c r="O17" s="229"/>
    </row>
    <row r="18" spans="1:15" ht="15" customHeight="1">
      <c r="A18" s="83" t="s">
        <v>380</v>
      </c>
      <c r="B18" s="110">
        <v>140.14102249999999</v>
      </c>
      <c r="C18" s="110">
        <v>76.736883199999994</v>
      </c>
      <c r="D18" s="110">
        <v>111.16347990000008</v>
      </c>
      <c r="E18" s="110">
        <v>79.336181699999884</v>
      </c>
      <c r="F18" s="169">
        <v>74.524927899999994</v>
      </c>
      <c r="G18" s="169">
        <v>1537.3647120000001</v>
      </c>
      <c r="H18" s="169">
        <v>83.129480300000068</v>
      </c>
      <c r="I18" s="169">
        <v>89.882313700000168</v>
      </c>
      <c r="J18" s="321">
        <v>95.496741900000004</v>
      </c>
      <c r="K18" s="321">
        <v>93.430162811999978</v>
      </c>
      <c r="L18" s="321">
        <v>87.437349635000004</v>
      </c>
      <c r="M18" s="321"/>
      <c r="O18" s="229"/>
    </row>
    <row r="19" spans="1:15" ht="15" customHeight="1">
      <c r="A19" s="83" t="s">
        <v>137</v>
      </c>
      <c r="B19" s="110">
        <v>166.48702019999999</v>
      </c>
      <c r="C19" s="110">
        <v>196.27673419240003</v>
      </c>
      <c r="D19" s="110">
        <v>102.40510283959998</v>
      </c>
      <c r="E19" s="110">
        <v>57.878901062399962</v>
      </c>
      <c r="F19" s="169">
        <v>101.52250573800001</v>
      </c>
      <c r="G19" s="169">
        <v>188.68287491679996</v>
      </c>
      <c r="H19" s="169">
        <v>114.56003952060007</v>
      </c>
      <c r="I19" s="169">
        <v>244.67962807459998</v>
      </c>
      <c r="J19" s="321">
        <v>174.904640785525</v>
      </c>
      <c r="K19" s="321">
        <v>191.24448578505203</v>
      </c>
      <c r="L19" s="321">
        <v>203.31348811525089</v>
      </c>
      <c r="M19" s="321"/>
      <c r="O19" s="229"/>
    </row>
    <row r="20" spans="1:15" ht="15" customHeight="1">
      <c r="A20" s="83" t="s">
        <v>410</v>
      </c>
      <c r="B20" s="110">
        <v>0</v>
      </c>
      <c r="C20" s="110">
        <v>0</v>
      </c>
      <c r="D20" s="110">
        <v>0</v>
      </c>
      <c r="E20" s="110">
        <v>0</v>
      </c>
      <c r="F20" s="169">
        <v>0</v>
      </c>
      <c r="G20" s="169">
        <v>0</v>
      </c>
      <c r="H20" s="169">
        <v>0</v>
      </c>
      <c r="I20" s="169">
        <v>0</v>
      </c>
      <c r="J20" s="321">
        <v>0</v>
      </c>
      <c r="K20" s="321">
        <v>0</v>
      </c>
      <c r="L20" s="321">
        <v>0</v>
      </c>
      <c r="M20" s="321"/>
      <c r="O20" s="229"/>
    </row>
    <row r="21" spans="1:15" ht="18" customHeight="1">
      <c r="A21" s="146" t="s">
        <v>495</v>
      </c>
      <c r="B21" s="113">
        <v>6595.1217283268215</v>
      </c>
      <c r="C21" s="113">
        <v>4880.0116341555968</v>
      </c>
      <c r="D21" s="113">
        <v>4808.112995906622</v>
      </c>
      <c r="E21" s="113">
        <v>6758.0002652757157</v>
      </c>
      <c r="F21" s="171">
        <v>4722.4843586152338</v>
      </c>
      <c r="G21" s="171">
        <v>6724.0679350146756</v>
      </c>
      <c r="H21" s="171">
        <v>6323.0572643748819</v>
      </c>
      <c r="I21" s="171">
        <v>7423.5492910539069</v>
      </c>
      <c r="J21" s="334">
        <v>5577.8265195735457</v>
      </c>
      <c r="K21" s="334">
        <v>8616.4674136333615</v>
      </c>
      <c r="L21" s="334">
        <v>5173.9981559579137</v>
      </c>
      <c r="M21" s="334"/>
      <c r="O21" s="229"/>
    </row>
    <row r="22" spans="1:15" ht="15" customHeight="1">
      <c r="A22" s="93"/>
      <c r="B22" s="93"/>
      <c r="C22" s="93"/>
      <c r="D22" s="93"/>
      <c r="E22" s="93"/>
      <c r="F22" s="93"/>
      <c r="G22" s="93"/>
      <c r="H22" s="93"/>
      <c r="I22" s="93"/>
      <c r="J22" s="93"/>
      <c r="K22" s="93"/>
      <c r="L22" s="93"/>
      <c r="M22" s="93"/>
      <c r="O22" s="229"/>
    </row>
    <row r="23" spans="1:15" ht="15" customHeight="1" thickBot="1">
      <c r="A23" s="92" t="s">
        <v>0</v>
      </c>
      <c r="B23" s="93"/>
      <c r="C23" s="93"/>
      <c r="D23" s="93"/>
      <c r="E23" s="93"/>
      <c r="F23" s="93"/>
      <c r="G23" s="93"/>
      <c r="H23" s="93"/>
      <c r="I23" s="93"/>
      <c r="J23" s="93"/>
      <c r="K23" s="93"/>
      <c r="L23" s="93"/>
      <c r="M23" s="93"/>
      <c r="O23" s="229"/>
    </row>
    <row r="24" spans="1:15" ht="15" customHeight="1" thickBot="1">
      <c r="A24" s="78" t="s">
        <v>33</v>
      </c>
      <c r="B24" s="576">
        <v>2014</v>
      </c>
      <c r="C24" s="577"/>
      <c r="D24" s="577"/>
      <c r="E24" s="578"/>
      <c r="F24" s="579">
        <v>2015</v>
      </c>
      <c r="G24" s="580"/>
      <c r="H24" s="580"/>
      <c r="I24" s="581"/>
      <c r="J24" s="582">
        <v>2016</v>
      </c>
      <c r="K24" s="583"/>
      <c r="L24" s="583"/>
      <c r="M24" s="583"/>
      <c r="O24" s="229"/>
    </row>
    <row r="25" spans="1:15" ht="15" customHeight="1" thickBot="1">
      <c r="A25" s="79" t="s">
        <v>527</v>
      </c>
      <c r="B25" s="290" t="s">
        <v>510</v>
      </c>
      <c r="C25" s="290" t="s">
        <v>511</v>
      </c>
      <c r="D25" s="290" t="s">
        <v>513</v>
      </c>
      <c r="E25" s="290" t="s">
        <v>514</v>
      </c>
      <c r="F25" s="311" t="s">
        <v>510</v>
      </c>
      <c r="G25" s="311" t="s">
        <v>511</v>
      </c>
      <c r="H25" s="311" t="s">
        <v>513</v>
      </c>
      <c r="I25" s="312" t="s">
        <v>514</v>
      </c>
      <c r="J25" s="237" t="s">
        <v>510</v>
      </c>
      <c r="K25" s="237" t="s">
        <v>511</v>
      </c>
      <c r="L25" s="237" t="s">
        <v>513</v>
      </c>
      <c r="M25" s="292" t="s">
        <v>514</v>
      </c>
      <c r="O25" s="229"/>
    </row>
    <row r="26" spans="1:15" ht="15" customHeight="1">
      <c r="A26" s="83" t="s">
        <v>47</v>
      </c>
      <c r="B26" s="110">
        <v>0</v>
      </c>
      <c r="C26" s="110">
        <v>0</v>
      </c>
      <c r="D26" s="110">
        <v>10.36</v>
      </c>
      <c r="E26" s="110">
        <v>-1.8099999999999987</v>
      </c>
      <c r="F26" s="169">
        <v>0</v>
      </c>
      <c r="G26" s="169">
        <v>0</v>
      </c>
      <c r="H26" s="169">
        <v>0</v>
      </c>
      <c r="I26" s="169">
        <v>0</v>
      </c>
      <c r="J26" s="321">
        <v>0</v>
      </c>
      <c r="K26" s="321">
        <v>100</v>
      </c>
      <c r="L26" s="321">
        <v>0</v>
      </c>
      <c r="M26" s="321"/>
      <c r="O26" s="229"/>
    </row>
    <row r="27" spans="1:15" ht="15" customHeight="1">
      <c r="A27" s="83" t="s">
        <v>23</v>
      </c>
      <c r="B27" s="110">
        <v>747.62493000000006</v>
      </c>
      <c r="C27" s="110">
        <v>2.2490172000000257</v>
      </c>
      <c r="D27" s="110">
        <v>1.0872287999999344</v>
      </c>
      <c r="E27" s="110">
        <v>3.5199664000000439</v>
      </c>
      <c r="F27" s="169">
        <v>3.0257499999999999</v>
      </c>
      <c r="G27" s="169">
        <v>0</v>
      </c>
      <c r="H27" s="169">
        <v>0</v>
      </c>
      <c r="I27" s="169">
        <v>0</v>
      </c>
      <c r="J27" s="321">
        <v>0</v>
      </c>
      <c r="K27" s="321">
        <v>0</v>
      </c>
      <c r="L27" s="321">
        <v>0</v>
      </c>
      <c r="M27" s="321"/>
      <c r="O27" s="229"/>
    </row>
    <row r="28" spans="1:15" ht="15" customHeight="1">
      <c r="A28" s="83" t="s">
        <v>13</v>
      </c>
      <c r="B28" s="110">
        <v>0</v>
      </c>
      <c r="C28" s="110">
        <v>0</v>
      </c>
      <c r="D28" s="110">
        <v>-14.1321932</v>
      </c>
      <c r="E28" s="110">
        <v>-0.13752720000000096</v>
      </c>
      <c r="F28" s="169">
        <v>0</v>
      </c>
      <c r="G28" s="169">
        <v>0</v>
      </c>
      <c r="H28" s="169">
        <v>0</v>
      </c>
      <c r="I28" s="169">
        <v>0</v>
      </c>
      <c r="J28" s="321">
        <v>0</v>
      </c>
      <c r="K28" s="321">
        <v>0</v>
      </c>
      <c r="L28" s="321">
        <v>0</v>
      </c>
      <c r="M28" s="321"/>
      <c r="O28" s="229"/>
    </row>
    <row r="29" spans="1:15" ht="15" customHeight="1">
      <c r="A29" s="83" t="s">
        <v>17</v>
      </c>
      <c r="B29" s="110">
        <v>0</v>
      </c>
      <c r="C29" s="110">
        <v>0</v>
      </c>
      <c r="D29" s="110">
        <v>0</v>
      </c>
      <c r="E29" s="110">
        <v>0</v>
      </c>
      <c r="F29" s="169">
        <v>0</v>
      </c>
      <c r="G29" s="169">
        <v>0</v>
      </c>
      <c r="H29" s="169">
        <v>0</v>
      </c>
      <c r="I29" s="169">
        <v>0</v>
      </c>
      <c r="J29" s="321">
        <v>0</v>
      </c>
      <c r="K29" s="321">
        <v>0</v>
      </c>
      <c r="L29" s="321">
        <v>0</v>
      </c>
      <c r="M29" s="321"/>
      <c r="O29" s="229"/>
    </row>
    <row r="30" spans="1:15" ht="15" customHeight="1">
      <c r="A30" s="83" t="s">
        <v>609</v>
      </c>
      <c r="B30" s="110">
        <v>0</v>
      </c>
      <c r="C30" s="110">
        <v>0</v>
      </c>
      <c r="D30" s="110">
        <v>0</v>
      </c>
      <c r="E30" s="110">
        <v>0</v>
      </c>
      <c r="F30" s="169">
        <v>0</v>
      </c>
      <c r="G30" s="169">
        <v>0</v>
      </c>
      <c r="H30" s="169">
        <v>0</v>
      </c>
      <c r="I30" s="169">
        <v>0</v>
      </c>
      <c r="J30" s="321">
        <v>0</v>
      </c>
      <c r="K30" s="321">
        <v>0</v>
      </c>
      <c r="L30" s="321">
        <v>0</v>
      </c>
      <c r="M30" s="321"/>
      <c r="O30" s="229"/>
    </row>
    <row r="31" spans="1:15" ht="15" customHeight="1">
      <c r="A31" s="83" t="s">
        <v>620</v>
      </c>
      <c r="B31" s="110">
        <v>0</v>
      </c>
      <c r="C31" s="110">
        <v>0</v>
      </c>
      <c r="D31" s="110">
        <v>0</v>
      </c>
      <c r="E31" s="110">
        <v>17.124470000000002</v>
      </c>
      <c r="F31" s="169">
        <v>0</v>
      </c>
      <c r="G31" s="169">
        <v>0</v>
      </c>
      <c r="H31" s="169">
        <v>0</v>
      </c>
      <c r="I31" s="169">
        <v>0</v>
      </c>
      <c r="J31" s="321">
        <v>0</v>
      </c>
      <c r="K31" s="321">
        <v>0</v>
      </c>
      <c r="L31" s="321">
        <v>0</v>
      </c>
      <c r="M31" s="321"/>
      <c r="O31" s="229"/>
    </row>
    <row r="32" spans="1:15" ht="15" customHeight="1">
      <c r="A32" s="83" t="s">
        <v>608</v>
      </c>
      <c r="B32" s="110">
        <v>0</v>
      </c>
      <c r="C32" s="110">
        <v>0</v>
      </c>
      <c r="D32" s="110">
        <v>0</v>
      </c>
      <c r="E32" s="110">
        <v>0</v>
      </c>
      <c r="F32" s="169">
        <v>0</v>
      </c>
      <c r="G32" s="169">
        <v>0</v>
      </c>
      <c r="H32" s="169">
        <v>0</v>
      </c>
      <c r="I32" s="169">
        <v>0</v>
      </c>
      <c r="J32" s="321">
        <v>0</v>
      </c>
      <c r="K32" s="321">
        <v>0</v>
      </c>
      <c r="L32" s="321">
        <v>0</v>
      </c>
      <c r="M32" s="321"/>
      <c r="O32" s="229"/>
    </row>
    <row r="33" spans="1:15" ht="15" customHeight="1">
      <c r="A33" s="83" t="s">
        <v>638</v>
      </c>
      <c r="B33" s="110">
        <v>0</v>
      </c>
      <c r="C33" s="110">
        <v>0</v>
      </c>
      <c r="D33" s="110">
        <v>0</v>
      </c>
      <c r="E33" s="110">
        <v>0</v>
      </c>
      <c r="F33" s="169">
        <v>0</v>
      </c>
      <c r="G33" s="169">
        <v>0</v>
      </c>
      <c r="H33" s="169">
        <v>0</v>
      </c>
      <c r="I33" s="169">
        <v>0</v>
      </c>
      <c r="J33" s="321">
        <v>0</v>
      </c>
      <c r="K33" s="321">
        <v>0</v>
      </c>
      <c r="L33" s="321">
        <v>0</v>
      </c>
      <c r="M33" s="321"/>
      <c r="O33" s="229"/>
    </row>
    <row r="34" spans="1:15" ht="15" customHeight="1">
      <c r="A34" s="83" t="s">
        <v>498</v>
      </c>
      <c r="B34" s="110">
        <v>0</v>
      </c>
      <c r="C34" s="110">
        <v>0</v>
      </c>
      <c r="D34" s="110">
        <v>0</v>
      </c>
      <c r="E34" s="110">
        <v>0</v>
      </c>
      <c r="F34" s="169">
        <v>0</v>
      </c>
      <c r="G34" s="169">
        <v>0</v>
      </c>
      <c r="H34" s="169">
        <v>0</v>
      </c>
      <c r="I34" s="169">
        <v>0</v>
      </c>
      <c r="J34" s="321">
        <v>0</v>
      </c>
      <c r="K34" s="321">
        <v>0</v>
      </c>
      <c r="L34" s="321">
        <v>0</v>
      </c>
      <c r="M34" s="321"/>
      <c r="O34" s="229"/>
    </row>
    <row r="35" spans="1:15" ht="15" customHeight="1">
      <c r="A35" s="83" t="s">
        <v>26</v>
      </c>
      <c r="B35" s="110">
        <v>0</v>
      </c>
      <c r="C35" s="110">
        <v>0</v>
      </c>
      <c r="D35" s="110">
        <v>0</v>
      </c>
      <c r="E35" s="110">
        <v>0</v>
      </c>
      <c r="F35" s="169">
        <v>0</v>
      </c>
      <c r="G35" s="169">
        <v>0</v>
      </c>
      <c r="H35" s="169">
        <v>0</v>
      </c>
      <c r="I35" s="169">
        <v>0</v>
      </c>
      <c r="J35" s="321">
        <v>0</v>
      </c>
      <c r="K35" s="321">
        <v>0</v>
      </c>
      <c r="L35" s="321">
        <v>0</v>
      </c>
      <c r="M35" s="321"/>
      <c r="O35" s="229"/>
    </row>
    <row r="36" spans="1:15" ht="15" customHeight="1">
      <c r="A36" s="83" t="s">
        <v>45</v>
      </c>
      <c r="B36" s="110">
        <v>0</v>
      </c>
      <c r="C36" s="110">
        <v>0</v>
      </c>
      <c r="D36" s="110">
        <v>0</v>
      </c>
      <c r="E36" s="110">
        <v>0</v>
      </c>
      <c r="F36" s="169">
        <v>0</v>
      </c>
      <c r="G36" s="169">
        <v>0</v>
      </c>
      <c r="H36" s="169">
        <v>0</v>
      </c>
      <c r="I36" s="169">
        <v>0</v>
      </c>
      <c r="J36" s="321">
        <v>0</v>
      </c>
      <c r="K36" s="321">
        <v>0</v>
      </c>
      <c r="L36" s="321">
        <v>0</v>
      </c>
      <c r="M36" s="321"/>
      <c r="O36" s="229"/>
    </row>
    <row r="37" spans="1:15" ht="15" customHeight="1">
      <c r="A37" s="83" t="s">
        <v>613</v>
      </c>
      <c r="B37" s="110">
        <v>0</v>
      </c>
      <c r="C37" s="110">
        <v>0</v>
      </c>
      <c r="D37" s="110">
        <v>0</v>
      </c>
      <c r="E37" s="110">
        <v>0</v>
      </c>
      <c r="F37" s="169">
        <v>0</v>
      </c>
      <c r="G37" s="169">
        <v>0</v>
      </c>
      <c r="H37" s="169">
        <v>0</v>
      </c>
      <c r="I37" s="169">
        <v>0</v>
      </c>
      <c r="J37" s="321">
        <v>0</v>
      </c>
      <c r="K37" s="321">
        <v>0</v>
      </c>
      <c r="L37" s="321">
        <v>0</v>
      </c>
      <c r="M37" s="321"/>
      <c r="O37" s="229"/>
    </row>
    <row r="38" spans="1:15" ht="15" customHeight="1">
      <c r="A38" s="83" t="s">
        <v>380</v>
      </c>
      <c r="B38" s="110">
        <v>0</v>
      </c>
      <c r="C38" s="110">
        <v>0</v>
      </c>
      <c r="D38" s="110">
        <v>0</v>
      </c>
      <c r="E38" s="110">
        <v>0</v>
      </c>
      <c r="F38" s="169">
        <v>0</v>
      </c>
      <c r="G38" s="169">
        <v>0</v>
      </c>
      <c r="H38" s="169">
        <v>0</v>
      </c>
      <c r="I38" s="169">
        <v>0</v>
      </c>
      <c r="J38" s="321">
        <v>0</v>
      </c>
      <c r="K38" s="321">
        <v>0</v>
      </c>
      <c r="L38" s="321">
        <v>0</v>
      </c>
      <c r="M38" s="321"/>
      <c r="O38" s="229"/>
    </row>
    <row r="39" spans="1:15" ht="15" customHeight="1">
      <c r="A39" s="83" t="s">
        <v>137</v>
      </c>
      <c r="B39" s="110">
        <v>171.291</v>
      </c>
      <c r="C39" s="110">
        <v>157.22699999999998</v>
      </c>
      <c r="D39" s="110">
        <v>123.86000000000001</v>
      </c>
      <c r="E39" s="110">
        <v>279.85143779999993</v>
      </c>
      <c r="F39" s="169">
        <v>304.50200000000001</v>
      </c>
      <c r="G39" s="169">
        <v>57.209531000000027</v>
      </c>
      <c r="H39" s="169">
        <v>74.096375769999952</v>
      </c>
      <c r="I39" s="169">
        <v>64.613747499999988</v>
      </c>
      <c r="J39" s="321">
        <v>3137.5661455999998</v>
      </c>
      <c r="K39" s="321">
        <v>287.48170720799044</v>
      </c>
      <c r="L39" s="321">
        <v>41.797862617169358</v>
      </c>
      <c r="M39" s="321"/>
      <c r="O39" s="229"/>
    </row>
    <row r="40" spans="1:15" ht="15" customHeight="1">
      <c r="A40" s="83" t="s">
        <v>410</v>
      </c>
      <c r="B40" s="110">
        <v>0</v>
      </c>
      <c r="C40" s="110">
        <v>0</v>
      </c>
      <c r="D40" s="110">
        <v>0</v>
      </c>
      <c r="E40" s="110">
        <v>0</v>
      </c>
      <c r="F40" s="169">
        <v>0</v>
      </c>
      <c r="G40" s="169">
        <v>0</v>
      </c>
      <c r="H40" s="169">
        <v>0</v>
      </c>
      <c r="I40" s="169">
        <v>0</v>
      </c>
      <c r="J40" s="321">
        <v>0</v>
      </c>
      <c r="K40" s="321">
        <v>0</v>
      </c>
      <c r="L40" s="321">
        <v>0</v>
      </c>
      <c r="M40" s="321"/>
      <c r="O40" s="229"/>
    </row>
    <row r="41" spans="1:15" ht="18" customHeight="1">
      <c r="A41" s="146" t="s">
        <v>496</v>
      </c>
      <c r="B41" s="113">
        <v>918.91593000000012</v>
      </c>
      <c r="C41" s="113">
        <v>159.9080171999999</v>
      </c>
      <c r="D41" s="113">
        <v>121.1750356</v>
      </c>
      <c r="E41" s="113">
        <v>298.54834699999992</v>
      </c>
      <c r="F41" s="171">
        <v>307.52775000000003</v>
      </c>
      <c r="G41" s="171">
        <v>57.194581000000028</v>
      </c>
      <c r="H41" s="171">
        <v>74.145125769999936</v>
      </c>
      <c r="I41" s="171">
        <v>64.665097500000002</v>
      </c>
      <c r="J41" s="334">
        <v>3137.5661455999998</v>
      </c>
      <c r="K41" s="334">
        <v>387.48170720799044</v>
      </c>
      <c r="L41" s="334">
        <v>41.797862617169358</v>
      </c>
      <c r="M41" s="334"/>
      <c r="O41" s="229"/>
    </row>
    <row r="42" spans="1:15" ht="15" customHeight="1">
      <c r="A42" s="93"/>
      <c r="B42" s="93"/>
      <c r="C42" s="93"/>
      <c r="D42" s="93"/>
      <c r="E42" s="93"/>
      <c r="F42" s="93"/>
      <c r="G42" s="93"/>
      <c r="H42" s="93"/>
      <c r="I42" s="93"/>
      <c r="J42" s="93"/>
      <c r="K42" s="93"/>
      <c r="L42" s="93"/>
      <c r="M42" s="93"/>
      <c r="O42" s="229"/>
    </row>
    <row r="43" spans="1:15" ht="15" customHeight="1" thickBot="1">
      <c r="A43" s="428" t="s">
        <v>480</v>
      </c>
      <c r="B43" s="93"/>
      <c r="C43" s="93"/>
      <c r="D43" s="93"/>
      <c r="E43" s="93"/>
      <c r="F43" s="93"/>
      <c r="G43" s="93"/>
      <c r="H43" s="93"/>
      <c r="I43" s="93"/>
      <c r="J43" s="93"/>
      <c r="K43" s="93"/>
      <c r="L43" s="93"/>
      <c r="M43" s="93"/>
      <c r="O43" s="229"/>
    </row>
    <row r="44" spans="1:15" ht="15" customHeight="1" thickBot="1">
      <c r="A44" s="78" t="s">
        <v>33</v>
      </c>
      <c r="B44" s="576">
        <v>2014</v>
      </c>
      <c r="C44" s="577"/>
      <c r="D44" s="577"/>
      <c r="E44" s="578"/>
      <c r="F44" s="579">
        <v>2015</v>
      </c>
      <c r="G44" s="580"/>
      <c r="H44" s="580"/>
      <c r="I44" s="581"/>
      <c r="J44" s="582">
        <v>2016</v>
      </c>
      <c r="K44" s="583"/>
      <c r="L44" s="583"/>
      <c r="M44" s="583"/>
      <c r="O44" s="229"/>
    </row>
    <row r="45" spans="1:15" ht="15" customHeight="1" thickBot="1">
      <c r="A45" s="79" t="s">
        <v>527</v>
      </c>
      <c r="B45" s="290" t="s">
        <v>510</v>
      </c>
      <c r="C45" s="290" t="s">
        <v>511</v>
      </c>
      <c r="D45" s="290" t="s">
        <v>513</v>
      </c>
      <c r="E45" s="291" t="s">
        <v>514</v>
      </c>
      <c r="F45" s="311" t="s">
        <v>510</v>
      </c>
      <c r="G45" s="311" t="s">
        <v>511</v>
      </c>
      <c r="H45" s="311" t="s">
        <v>513</v>
      </c>
      <c r="I45" s="312" t="s">
        <v>514</v>
      </c>
      <c r="J45" s="237" t="s">
        <v>510</v>
      </c>
      <c r="K45" s="237" t="s">
        <v>511</v>
      </c>
      <c r="L45" s="237" t="s">
        <v>513</v>
      </c>
      <c r="M45" s="292" t="s">
        <v>514</v>
      </c>
      <c r="O45" s="229"/>
    </row>
    <row r="46" spans="1:15" ht="15" customHeight="1">
      <c r="A46" s="83" t="s">
        <v>47</v>
      </c>
      <c r="B46" s="110">
        <v>1048.15260747</v>
      </c>
      <c r="C46" s="110">
        <v>991.47364077167003</v>
      </c>
      <c r="D46" s="110">
        <v>988.49029983458968</v>
      </c>
      <c r="E46" s="110">
        <v>1181.6686657225796</v>
      </c>
      <c r="F46" s="169">
        <v>847.62532724000005</v>
      </c>
      <c r="G46" s="169">
        <v>1039.2030585299999</v>
      </c>
      <c r="H46" s="169">
        <v>1009.44351755</v>
      </c>
      <c r="I46" s="169">
        <v>1362.6195450200003</v>
      </c>
      <c r="J46" s="321">
        <v>889.23166499100012</v>
      </c>
      <c r="K46" s="321">
        <v>1183.9512341299999</v>
      </c>
      <c r="L46" s="321">
        <v>1182.49290737</v>
      </c>
      <c r="M46" s="321"/>
      <c r="O46" s="229"/>
    </row>
    <row r="47" spans="1:15" ht="15" customHeight="1">
      <c r="A47" s="83" t="s">
        <v>23</v>
      </c>
      <c r="B47" s="110">
        <v>268.61944517411206</v>
      </c>
      <c r="C47" s="110">
        <v>404.43104414907197</v>
      </c>
      <c r="D47" s="110">
        <v>317.99512534011592</v>
      </c>
      <c r="E47" s="110">
        <v>515.56410799312005</v>
      </c>
      <c r="F47" s="169">
        <v>307.61215387752497</v>
      </c>
      <c r="G47" s="169">
        <v>347.83906886291504</v>
      </c>
      <c r="H47" s="169">
        <v>254.63433976656609</v>
      </c>
      <c r="I47" s="169">
        <v>391.93555738223392</v>
      </c>
      <c r="J47" s="321">
        <v>335.63182813755105</v>
      </c>
      <c r="K47" s="321">
        <v>335.94236311170192</v>
      </c>
      <c r="L47" s="321">
        <v>295.49284899322697</v>
      </c>
      <c r="M47" s="321"/>
      <c r="O47" s="229"/>
    </row>
    <row r="48" spans="1:15" ht="15" customHeight="1">
      <c r="A48" s="83" t="s">
        <v>13</v>
      </c>
      <c r="B48" s="110">
        <v>143.74179050000001</v>
      </c>
      <c r="C48" s="110">
        <v>112.14021009999999</v>
      </c>
      <c r="D48" s="110">
        <v>102.82977500000007</v>
      </c>
      <c r="E48" s="110">
        <v>155.67500119999994</v>
      </c>
      <c r="F48" s="169">
        <v>134.05190489999998</v>
      </c>
      <c r="G48" s="169">
        <v>127.82304360000003</v>
      </c>
      <c r="H48" s="169">
        <v>71.068571500000019</v>
      </c>
      <c r="I48" s="169">
        <v>164.22494760000001</v>
      </c>
      <c r="J48" s="321">
        <v>118.2818008</v>
      </c>
      <c r="K48" s="321">
        <v>84.320794555999996</v>
      </c>
      <c r="L48" s="321">
        <v>45.242052210000026</v>
      </c>
      <c r="M48" s="321"/>
      <c r="O48" s="229"/>
    </row>
    <row r="49" spans="1:15" ht="15" customHeight="1">
      <c r="A49" s="83" t="s">
        <v>17</v>
      </c>
      <c r="B49" s="110">
        <v>53.734801399999995</v>
      </c>
      <c r="C49" s="110">
        <v>68.1836986</v>
      </c>
      <c r="D49" s="110">
        <v>82.129222800000036</v>
      </c>
      <c r="E49" s="110">
        <v>162.70701070000018</v>
      </c>
      <c r="F49" s="169">
        <v>67.343217700000011</v>
      </c>
      <c r="G49" s="169">
        <v>87.380046899999982</v>
      </c>
      <c r="H49" s="169">
        <v>69.501568400000025</v>
      </c>
      <c r="I49" s="169">
        <v>89.748495100000042</v>
      </c>
      <c r="J49" s="321">
        <v>46.192825131639502</v>
      </c>
      <c r="K49" s="321">
        <v>76.930642148360505</v>
      </c>
      <c r="L49" s="321">
        <v>103.84185768399999</v>
      </c>
      <c r="M49" s="321"/>
      <c r="O49" s="229"/>
    </row>
    <row r="50" spans="1:15" ht="15" customHeight="1">
      <c r="A50" s="83" t="s">
        <v>609</v>
      </c>
      <c r="B50" s="110">
        <v>48.611381000000002</v>
      </c>
      <c r="C50" s="110">
        <v>41.2081867148</v>
      </c>
      <c r="D50" s="110">
        <v>218.01523628520002</v>
      </c>
      <c r="E50" s="110">
        <v>372.68805848899996</v>
      </c>
      <c r="F50" s="169">
        <v>112.5391722</v>
      </c>
      <c r="G50" s="169">
        <v>92.857408467200003</v>
      </c>
      <c r="H50" s="169">
        <v>84.120638589999999</v>
      </c>
      <c r="I50" s="169">
        <v>216.08292496980002</v>
      </c>
      <c r="J50" s="321">
        <v>33.019309065599998</v>
      </c>
      <c r="K50" s="321">
        <v>52.118522088875999</v>
      </c>
      <c r="L50" s="321">
        <v>46.865218419908999</v>
      </c>
      <c r="M50" s="321"/>
      <c r="O50" s="229"/>
    </row>
    <row r="51" spans="1:15" ht="15" customHeight="1">
      <c r="A51" s="83" t="s">
        <v>620</v>
      </c>
      <c r="B51" s="110">
        <v>59.942208000899996</v>
      </c>
      <c r="C51" s="110">
        <v>76.873100099099986</v>
      </c>
      <c r="D51" s="110">
        <v>64.990319395480014</v>
      </c>
      <c r="E51" s="110">
        <v>119.88140234652002</v>
      </c>
      <c r="F51" s="169">
        <v>44.992509341199998</v>
      </c>
      <c r="G51" s="169">
        <v>101.69061386729999</v>
      </c>
      <c r="H51" s="169">
        <v>108.78100956800006</v>
      </c>
      <c r="I51" s="169">
        <v>142.35524771349998</v>
      </c>
      <c r="J51" s="321">
        <v>82.430313599999991</v>
      </c>
      <c r="K51" s="321">
        <v>97.772263075000026</v>
      </c>
      <c r="L51" s="321">
        <v>64.384409112000029</v>
      </c>
      <c r="M51" s="321"/>
      <c r="O51" s="229"/>
    </row>
    <row r="52" spans="1:15" ht="15" customHeight="1">
      <c r="A52" s="83" t="s">
        <v>608</v>
      </c>
      <c r="B52" s="110">
        <v>554.14975200000003</v>
      </c>
      <c r="C52" s="110">
        <v>858.38154999999983</v>
      </c>
      <c r="D52" s="110">
        <v>404.83103870000014</v>
      </c>
      <c r="E52" s="110">
        <v>904.03842530000009</v>
      </c>
      <c r="F52" s="169">
        <v>1313.5703713</v>
      </c>
      <c r="G52" s="169">
        <v>730.65923589999989</v>
      </c>
      <c r="H52" s="169">
        <v>1788.7795040401602</v>
      </c>
      <c r="I52" s="169">
        <v>932.75516925984039</v>
      </c>
      <c r="J52" s="321">
        <v>1139.1258049999999</v>
      </c>
      <c r="K52" s="321">
        <v>1003.2254673290001</v>
      </c>
      <c r="L52" s="321">
        <v>1279.7891409029999</v>
      </c>
      <c r="M52" s="321"/>
      <c r="O52" s="229"/>
    </row>
    <row r="53" spans="1:15" ht="15" customHeight="1">
      <c r="A53" s="83" t="s">
        <v>638</v>
      </c>
      <c r="B53" s="110">
        <v>372.43752500000005</v>
      </c>
      <c r="C53" s="110">
        <v>356.18735228799994</v>
      </c>
      <c r="D53" s="110">
        <v>534.006833712</v>
      </c>
      <c r="E53" s="110">
        <v>478.6500403</v>
      </c>
      <c r="F53" s="169">
        <v>412.16792399999997</v>
      </c>
      <c r="G53" s="169">
        <v>425.099884549747</v>
      </c>
      <c r="H53" s="169">
        <v>454.17037790312281</v>
      </c>
      <c r="I53" s="169">
        <v>578.28762003536008</v>
      </c>
      <c r="J53" s="321">
        <v>351.40208329546499</v>
      </c>
      <c r="K53" s="321">
        <v>344.20980072700206</v>
      </c>
      <c r="L53" s="321">
        <v>416.32573676435288</v>
      </c>
      <c r="M53" s="321"/>
      <c r="O53" s="229"/>
    </row>
    <row r="54" spans="1:15" ht="15" customHeight="1">
      <c r="A54" s="83" t="s">
        <v>498</v>
      </c>
      <c r="B54" s="110">
        <v>217.051872</v>
      </c>
      <c r="C54" s="110">
        <v>285.1553748</v>
      </c>
      <c r="D54" s="110">
        <v>229.61197799999991</v>
      </c>
      <c r="E54" s="110">
        <v>500.42552579999995</v>
      </c>
      <c r="F54" s="169">
        <v>370.12578149999996</v>
      </c>
      <c r="G54" s="169">
        <v>637.55657500000007</v>
      </c>
      <c r="H54" s="169">
        <v>487.99775369999998</v>
      </c>
      <c r="I54" s="169">
        <v>500.6878494</v>
      </c>
      <c r="J54" s="321">
        <v>1004.3698528</v>
      </c>
      <c r="K54" s="321">
        <v>461.67121462600005</v>
      </c>
      <c r="L54" s="321">
        <v>225.85422485895981</v>
      </c>
      <c r="M54" s="321"/>
      <c r="O54" s="229"/>
    </row>
    <row r="55" spans="1:15" ht="15" customHeight="1">
      <c r="A55" s="83" t="s">
        <v>26</v>
      </c>
      <c r="B55" s="110">
        <v>201.64844969999999</v>
      </c>
      <c r="C55" s="110">
        <v>137.21489520000011</v>
      </c>
      <c r="D55" s="110">
        <v>439.12813019999999</v>
      </c>
      <c r="E55" s="110">
        <v>616.47417929999949</v>
      </c>
      <c r="F55" s="169">
        <v>325.73174949900005</v>
      </c>
      <c r="G55" s="169">
        <v>292.21932687459997</v>
      </c>
      <c r="H55" s="169">
        <v>266.05940712879999</v>
      </c>
      <c r="I55" s="169">
        <v>558.4630472911</v>
      </c>
      <c r="J55" s="321">
        <v>315.457247</v>
      </c>
      <c r="K55" s="321">
        <v>357.65466256250011</v>
      </c>
      <c r="L55" s="321">
        <v>324.14266932950022</v>
      </c>
      <c r="M55" s="321"/>
      <c r="O55" s="229"/>
    </row>
    <row r="56" spans="1:15" ht="15" customHeight="1">
      <c r="A56" s="83" t="s">
        <v>45</v>
      </c>
      <c r="B56" s="110">
        <v>116.982329243809</v>
      </c>
      <c r="C56" s="110">
        <v>129.838186273557</v>
      </c>
      <c r="D56" s="110">
        <v>176.22270198263425</v>
      </c>
      <c r="E56" s="110">
        <v>106.09839365559685</v>
      </c>
      <c r="F56" s="169">
        <v>103.89774722241229</v>
      </c>
      <c r="G56" s="169">
        <v>247.82211003182786</v>
      </c>
      <c r="H56" s="169">
        <v>189.8437479313603</v>
      </c>
      <c r="I56" s="169">
        <v>489.26562232716952</v>
      </c>
      <c r="J56" s="321">
        <v>408.53629595812998</v>
      </c>
      <c r="K56" s="321">
        <v>203.17836562938299</v>
      </c>
      <c r="L56" s="321">
        <v>130.81472873795511</v>
      </c>
      <c r="M56" s="321"/>
      <c r="O56" s="229"/>
    </row>
    <row r="57" spans="1:15" ht="15" customHeight="1">
      <c r="A57" s="83" t="s">
        <v>613</v>
      </c>
      <c r="B57" s="110">
        <v>302.24395924800001</v>
      </c>
      <c r="C57" s="110">
        <v>250.54178261200013</v>
      </c>
      <c r="D57" s="110">
        <v>141.89590609699962</v>
      </c>
      <c r="E57" s="110">
        <v>541.04543011599981</v>
      </c>
      <c r="F57" s="169">
        <v>441.77821694028</v>
      </c>
      <c r="G57" s="169">
        <v>862.68505259571987</v>
      </c>
      <c r="H57" s="169">
        <v>723.32450825682213</v>
      </c>
      <c r="I57" s="169">
        <v>769.41398897494582</v>
      </c>
      <c r="J57" s="321">
        <v>551.99311314158081</v>
      </c>
      <c r="K57" s="321">
        <v>766.38937467207734</v>
      </c>
      <c r="L57" s="321">
        <v>614.26592428529977</v>
      </c>
      <c r="M57" s="321"/>
      <c r="O57" s="229"/>
    </row>
    <row r="58" spans="1:15" ht="15" customHeight="1">
      <c r="A58" s="83" t="s">
        <v>380</v>
      </c>
      <c r="B58" s="110">
        <v>140.14102249999999</v>
      </c>
      <c r="C58" s="110">
        <v>76.736883199999994</v>
      </c>
      <c r="D58" s="110">
        <v>111.16347990000008</v>
      </c>
      <c r="E58" s="110">
        <v>79.336181699999884</v>
      </c>
      <c r="F58" s="169">
        <v>74.524927899999994</v>
      </c>
      <c r="G58" s="169">
        <v>1537.3647120000001</v>
      </c>
      <c r="H58" s="169">
        <v>83.129480300000068</v>
      </c>
      <c r="I58" s="169">
        <v>89.882313700000168</v>
      </c>
      <c r="J58" s="321">
        <v>95.496741900000004</v>
      </c>
      <c r="K58" s="321">
        <v>93.430162811999978</v>
      </c>
      <c r="L58" s="321">
        <v>87.437349635000004</v>
      </c>
      <c r="M58" s="321"/>
      <c r="O58" s="229"/>
    </row>
    <row r="59" spans="1:15" ht="15" customHeight="1">
      <c r="A59" s="83" t="s">
        <v>137</v>
      </c>
      <c r="B59" s="110">
        <v>166.48702019999999</v>
      </c>
      <c r="C59" s="110">
        <v>196.27673419240003</v>
      </c>
      <c r="D59" s="110">
        <v>102.40510283959998</v>
      </c>
      <c r="E59" s="110">
        <v>57.878901062399962</v>
      </c>
      <c r="F59" s="169">
        <v>101.52250573800001</v>
      </c>
      <c r="G59" s="169">
        <v>188.68287491679996</v>
      </c>
      <c r="H59" s="169">
        <v>114.56303952060007</v>
      </c>
      <c r="I59" s="169">
        <v>244.68162807459998</v>
      </c>
      <c r="J59" s="321">
        <v>174.904640785525</v>
      </c>
      <c r="K59" s="321">
        <v>190.89324418905204</v>
      </c>
      <c r="L59" s="321">
        <v>199.8852083052509</v>
      </c>
      <c r="M59" s="321"/>
      <c r="O59" s="229"/>
    </row>
    <row r="60" spans="1:15" ht="15" customHeight="1">
      <c r="A60" s="83" t="s">
        <v>410</v>
      </c>
      <c r="B60" s="110">
        <v>0</v>
      </c>
      <c r="C60" s="110">
        <v>0</v>
      </c>
      <c r="D60" s="110">
        <v>0</v>
      </c>
      <c r="E60" s="110">
        <v>0</v>
      </c>
      <c r="F60" s="169">
        <v>0</v>
      </c>
      <c r="G60" s="169">
        <v>0</v>
      </c>
      <c r="H60" s="169">
        <v>0</v>
      </c>
      <c r="I60" s="169">
        <v>0</v>
      </c>
      <c r="J60" s="321">
        <v>0</v>
      </c>
      <c r="K60" s="321">
        <v>0</v>
      </c>
      <c r="L60" s="321">
        <v>0</v>
      </c>
      <c r="M60" s="321"/>
      <c r="O60" s="229"/>
    </row>
    <row r="61" spans="1:15" ht="18" customHeight="1">
      <c r="A61" s="146" t="s">
        <v>651</v>
      </c>
      <c r="B61" s="113">
        <v>3693.9441634368218</v>
      </c>
      <c r="C61" s="113">
        <v>3984.6426390005968</v>
      </c>
      <c r="D61" s="113">
        <v>3913.7151500866221</v>
      </c>
      <c r="E61" s="113">
        <v>5792.131323685212</v>
      </c>
      <c r="F61" s="171">
        <v>4657.483509358417</v>
      </c>
      <c r="G61" s="171">
        <v>6718.8830120961093</v>
      </c>
      <c r="H61" s="171">
        <v>5705.4174641554309</v>
      </c>
      <c r="I61" s="171">
        <v>6530.4039568485487</v>
      </c>
      <c r="J61" s="334">
        <v>5546.0735216064913</v>
      </c>
      <c r="K61" s="334">
        <v>5251.6881116569539</v>
      </c>
      <c r="L61" s="334">
        <v>5016.8342766084534</v>
      </c>
      <c r="M61" s="334"/>
      <c r="O61" s="229"/>
    </row>
    <row r="62" spans="1:15" ht="15" customHeight="1">
      <c r="A62" s="93"/>
      <c r="B62" s="93"/>
      <c r="C62" s="93"/>
      <c r="D62" s="93"/>
      <c r="E62" s="93"/>
      <c r="F62" s="93"/>
      <c r="G62" s="93"/>
      <c r="H62" s="93"/>
      <c r="I62" s="93"/>
      <c r="J62" s="93"/>
      <c r="K62" s="93"/>
      <c r="L62" s="93"/>
      <c r="M62" s="93"/>
    </row>
    <row r="64" spans="1:15">
      <c r="B64" s="229"/>
      <c r="C64" s="229"/>
      <c r="D64" s="229"/>
      <c r="E64" s="229"/>
      <c r="F64" s="229"/>
      <c r="G64" s="229"/>
      <c r="H64" s="229"/>
      <c r="I64" s="229"/>
      <c r="J64" s="229"/>
    </row>
    <row r="65" spans="2:10">
      <c r="B65" s="229"/>
      <c r="C65" s="229"/>
      <c r="D65" s="229"/>
      <c r="E65" s="229"/>
      <c r="F65" s="229"/>
      <c r="G65" s="229"/>
      <c r="H65" s="229"/>
      <c r="I65" s="229"/>
      <c r="J65" s="229"/>
    </row>
  </sheetData>
  <mergeCells count="9">
    <mergeCell ref="B44:E44"/>
    <mergeCell ref="F44:I44"/>
    <mergeCell ref="J44:M44"/>
    <mergeCell ref="J4:M4"/>
    <mergeCell ref="J24:M24"/>
    <mergeCell ref="F4:I4"/>
    <mergeCell ref="F24:I24"/>
    <mergeCell ref="B4:E4"/>
    <mergeCell ref="B24:E24"/>
  </mergeCells>
  <phoneticPr fontId="16" type="noConversion"/>
  <pageMargins left="0.43" right="0.38" top="0.68" bottom="0.63" header="0.5" footer="0.5"/>
  <pageSetup paperSize="9" scale="5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pageSetUpPr fitToPage="1"/>
  </sheetPr>
  <dimension ref="A1:O134"/>
  <sheetViews>
    <sheetView showGridLines="0" view="pageBreakPreview" zoomScale="90" zoomScaleNormal="100" zoomScaleSheetLayoutView="90" workbookViewId="0">
      <pane xSplit="1" topLeftCell="B1" activePane="topRight" state="frozen"/>
      <selection activeCell="J17" sqref="J17"/>
      <selection pane="topRight" activeCell="O43" sqref="O1:O1048576"/>
    </sheetView>
  </sheetViews>
  <sheetFormatPr defaultColWidth="11.42578125" defaultRowHeight="12.75"/>
  <cols>
    <col min="1" max="1" width="76.7109375" style="6" customWidth="1"/>
    <col min="2" max="13" width="13.7109375" style="405" customWidth="1"/>
    <col min="14" max="16384" width="11.42578125" style="405"/>
  </cols>
  <sheetData>
    <row r="1" spans="1:15" ht="15" customHeight="1">
      <c r="A1" s="534"/>
      <c r="B1" s="511"/>
      <c r="C1" s="511"/>
      <c r="D1" s="511"/>
      <c r="E1" s="511"/>
      <c r="F1" s="511"/>
      <c r="G1" s="511"/>
      <c r="H1" s="511"/>
      <c r="I1" s="511"/>
      <c r="J1" s="511"/>
      <c r="K1" s="511"/>
      <c r="L1" s="511"/>
      <c r="M1" s="511"/>
    </row>
    <row r="2" spans="1:15" ht="15" customHeight="1">
      <c r="A2" s="510"/>
      <c r="B2" s="511"/>
      <c r="C2" s="511"/>
      <c r="D2" s="511"/>
      <c r="E2" s="511"/>
      <c r="F2" s="511"/>
      <c r="G2" s="511"/>
      <c r="H2" s="511"/>
      <c r="I2" s="511"/>
      <c r="J2" s="511"/>
      <c r="K2" s="511"/>
      <c r="L2" s="511"/>
      <c r="M2" s="511"/>
    </row>
    <row r="3" spans="1:15" s="8" customFormat="1" ht="15" customHeight="1" thickBot="1">
      <c r="A3" s="512" t="s">
        <v>389</v>
      </c>
      <c r="B3" s="513"/>
      <c r="C3" s="513"/>
      <c r="D3" s="513"/>
      <c r="E3" s="513"/>
      <c r="F3" s="513"/>
      <c r="G3" s="513"/>
      <c r="H3" s="513"/>
      <c r="I3" s="513"/>
      <c r="J3" s="513"/>
      <c r="K3" s="513"/>
      <c r="L3" s="513"/>
      <c r="M3" s="513"/>
    </row>
    <row r="4" spans="1:15" ht="15" customHeight="1" thickBot="1">
      <c r="A4" s="514"/>
      <c r="B4" s="586" t="s">
        <v>194</v>
      </c>
      <c r="C4" s="587"/>
      <c r="D4" s="587"/>
      <c r="E4" s="588"/>
      <c r="F4" s="589" t="s">
        <v>198</v>
      </c>
      <c r="G4" s="590"/>
      <c r="H4" s="590"/>
      <c r="I4" s="591"/>
      <c r="J4" s="592" t="s">
        <v>202</v>
      </c>
      <c r="K4" s="593"/>
      <c r="L4" s="593"/>
      <c r="M4" s="593"/>
    </row>
    <row r="5" spans="1:15" ht="15" customHeight="1" thickBot="1">
      <c r="A5" s="515"/>
      <c r="B5" s="516" t="s">
        <v>510</v>
      </c>
      <c r="C5" s="516" t="s">
        <v>511</v>
      </c>
      <c r="D5" s="516" t="s">
        <v>513</v>
      </c>
      <c r="E5" s="516" t="s">
        <v>514</v>
      </c>
      <c r="F5" s="517" t="s">
        <v>510</v>
      </c>
      <c r="G5" s="517" t="s">
        <v>511</v>
      </c>
      <c r="H5" s="517" t="s">
        <v>513</v>
      </c>
      <c r="I5" s="517" t="s">
        <v>514</v>
      </c>
      <c r="J5" s="518" t="s">
        <v>510</v>
      </c>
      <c r="K5" s="518" t="s">
        <v>511</v>
      </c>
      <c r="L5" s="518" t="s">
        <v>513</v>
      </c>
      <c r="M5" s="518" t="s">
        <v>514</v>
      </c>
    </row>
    <row r="6" spans="1:15" ht="15" customHeight="1">
      <c r="A6" s="519" t="s">
        <v>47</v>
      </c>
      <c r="B6" s="126"/>
      <c r="C6" s="126"/>
      <c r="D6" s="126"/>
      <c r="E6" s="126"/>
      <c r="F6" s="177"/>
      <c r="G6" s="177"/>
      <c r="H6" s="177"/>
      <c r="I6" s="177"/>
      <c r="J6" s="338"/>
      <c r="K6" s="338"/>
      <c r="L6" s="338"/>
      <c r="M6" s="338"/>
    </row>
    <row r="7" spans="1:15" ht="15" customHeight="1">
      <c r="A7" s="520" t="s">
        <v>139</v>
      </c>
      <c r="B7" s="110"/>
      <c r="C7" s="110"/>
      <c r="D7" s="110"/>
      <c r="E7" s="110"/>
      <c r="F7" s="169"/>
      <c r="G7" s="169"/>
      <c r="H7" s="169"/>
      <c r="I7" s="169"/>
      <c r="J7" s="321"/>
      <c r="K7" s="321"/>
      <c r="L7" s="321"/>
      <c r="M7" s="321"/>
    </row>
    <row r="8" spans="1:15" ht="15" customHeight="1">
      <c r="A8" s="521" t="s">
        <v>373</v>
      </c>
      <c r="B8" s="110">
        <v>3216.846</v>
      </c>
      <c r="C8" s="110">
        <v>3204.5</v>
      </c>
      <c r="D8" s="110">
        <v>3215.0810000000001</v>
      </c>
      <c r="E8" s="110">
        <v>3218.27</v>
      </c>
      <c r="F8" s="169">
        <v>3208.7159999999999</v>
      </c>
      <c r="G8" s="169">
        <v>3214.8229999999999</v>
      </c>
      <c r="H8" s="169">
        <v>3190.4810000000002</v>
      </c>
      <c r="I8" s="169">
        <v>3162.913</v>
      </c>
      <c r="J8" s="321">
        <v>3128.8</v>
      </c>
      <c r="K8" s="321">
        <v>3105.0790000000002</v>
      </c>
      <c r="L8" s="321">
        <v>3081.1750000000002</v>
      </c>
      <c r="M8" s="321"/>
      <c r="O8" s="229"/>
    </row>
    <row r="9" spans="1:15" ht="15" customHeight="1">
      <c r="A9" s="521" t="s">
        <v>708</v>
      </c>
      <c r="B9" s="110">
        <v>615</v>
      </c>
      <c r="C9" s="110">
        <v>610</v>
      </c>
      <c r="D9" s="110">
        <v>601.07100000000003</v>
      </c>
      <c r="E9" s="110">
        <v>568.83199999999999</v>
      </c>
      <c r="F9" s="169">
        <v>524.56899999999996</v>
      </c>
      <c r="G9" s="169">
        <v>503.10599999999999</v>
      </c>
      <c r="H9" s="169">
        <v>485.09399999999999</v>
      </c>
      <c r="I9" s="169">
        <v>465.904</v>
      </c>
      <c r="J9" s="321">
        <v>447.875</v>
      </c>
      <c r="K9" s="321">
        <v>427.05599999999998</v>
      </c>
      <c r="L9" s="321">
        <v>403.75900000000001</v>
      </c>
      <c r="M9" s="321"/>
      <c r="O9" s="229"/>
    </row>
    <row r="10" spans="1:15" ht="15" customHeight="1">
      <c r="A10" s="521" t="s">
        <v>374</v>
      </c>
      <c r="B10" s="110">
        <v>259</v>
      </c>
      <c r="C10" s="110">
        <v>267</v>
      </c>
      <c r="D10" s="110">
        <v>259.72995453979098</v>
      </c>
      <c r="E10" s="110">
        <v>271.24487153228802</v>
      </c>
      <c r="F10" s="169">
        <v>276.88422952304899</v>
      </c>
      <c r="G10" s="169">
        <v>287.47820027582401</v>
      </c>
      <c r="H10" s="169">
        <v>276.61173264461502</v>
      </c>
      <c r="I10" s="169">
        <v>284.96949662682601</v>
      </c>
      <c r="J10" s="321">
        <v>284.46398187009902</v>
      </c>
      <c r="K10" s="321">
        <v>319.18443418921999</v>
      </c>
      <c r="L10" s="321">
        <v>258.13764939561798</v>
      </c>
      <c r="M10" s="321"/>
      <c r="O10" s="229"/>
    </row>
    <row r="11" spans="1:15" ht="15" customHeight="1">
      <c r="A11" s="521" t="s">
        <v>375</v>
      </c>
      <c r="B11" s="110">
        <v>287</v>
      </c>
      <c r="C11" s="110">
        <v>304</v>
      </c>
      <c r="D11" s="110">
        <v>320.2</v>
      </c>
      <c r="E11" s="110">
        <v>308.89999999999998</v>
      </c>
      <c r="F11" s="169">
        <v>311.5</v>
      </c>
      <c r="G11" s="169">
        <v>322.60000000000002</v>
      </c>
      <c r="H11" s="169">
        <v>331.3</v>
      </c>
      <c r="I11" s="169">
        <v>314.3</v>
      </c>
      <c r="J11" s="321">
        <v>315.3</v>
      </c>
      <c r="K11" s="321">
        <v>315.2</v>
      </c>
      <c r="L11" s="321">
        <v>327.39999999999998</v>
      </c>
      <c r="M11" s="321"/>
      <c r="O11" s="229"/>
    </row>
    <row r="12" spans="1:15" ht="15" customHeight="1">
      <c r="A12" s="521" t="s">
        <v>709</v>
      </c>
      <c r="B12" s="110">
        <v>341</v>
      </c>
      <c r="C12" s="110">
        <v>361</v>
      </c>
      <c r="D12" s="110">
        <v>377.5</v>
      </c>
      <c r="E12" s="110">
        <v>365.2</v>
      </c>
      <c r="F12" s="169">
        <v>363.5</v>
      </c>
      <c r="G12" s="169">
        <v>371.4</v>
      </c>
      <c r="H12" s="169">
        <v>379.3</v>
      </c>
      <c r="I12" s="169">
        <v>359</v>
      </c>
      <c r="J12" s="321">
        <v>359.2</v>
      </c>
      <c r="K12" s="321">
        <v>356.8</v>
      </c>
      <c r="L12" s="321">
        <v>367.1</v>
      </c>
      <c r="M12" s="321"/>
      <c r="O12" s="229"/>
    </row>
    <row r="13" spans="1:15" ht="15" customHeight="1">
      <c r="A13" s="521" t="s">
        <v>708</v>
      </c>
      <c r="B13" s="110">
        <v>59</v>
      </c>
      <c r="C13" s="110">
        <v>61</v>
      </c>
      <c r="D13" s="110">
        <v>63</v>
      </c>
      <c r="E13" s="110">
        <v>52.4</v>
      </c>
      <c r="F13" s="169">
        <v>56.8</v>
      </c>
      <c r="G13" s="169">
        <v>62.9</v>
      </c>
      <c r="H13" s="169">
        <v>64</v>
      </c>
      <c r="I13" s="169">
        <v>57.8</v>
      </c>
      <c r="J13" s="321">
        <v>54.4</v>
      </c>
      <c r="K13" s="321">
        <v>59.4</v>
      </c>
      <c r="L13" s="321">
        <v>64.599999999999994</v>
      </c>
      <c r="M13" s="321"/>
      <c r="O13" s="229"/>
    </row>
    <row r="14" spans="1:15" ht="15" customHeight="1">
      <c r="A14" s="520" t="s">
        <v>515</v>
      </c>
      <c r="B14" s="110"/>
      <c r="C14" s="110"/>
      <c r="D14" s="110"/>
      <c r="E14" s="110"/>
      <c r="F14" s="169"/>
      <c r="G14" s="169"/>
      <c r="H14" s="169"/>
      <c r="I14" s="169"/>
      <c r="J14" s="321"/>
      <c r="K14" s="321"/>
      <c r="L14" s="321"/>
      <c r="M14" s="321"/>
      <c r="O14" s="229"/>
    </row>
    <row r="15" spans="1:15" ht="15" customHeight="1">
      <c r="A15" s="522" t="s">
        <v>583</v>
      </c>
      <c r="B15" s="110"/>
      <c r="C15" s="110"/>
      <c r="D15" s="110"/>
      <c r="E15" s="110"/>
      <c r="F15" s="169"/>
      <c r="G15" s="169"/>
      <c r="H15" s="169"/>
      <c r="I15" s="169"/>
      <c r="J15" s="321"/>
      <c r="K15" s="321"/>
      <c r="L15" s="321"/>
      <c r="M15" s="321"/>
      <c r="O15" s="229"/>
    </row>
    <row r="16" spans="1:15" ht="15" customHeight="1">
      <c r="A16" s="523" t="s">
        <v>559</v>
      </c>
      <c r="B16" s="110">
        <v>772.44399999999996</v>
      </c>
      <c r="C16" s="110">
        <v>750.83</v>
      </c>
      <c r="D16" s="110">
        <v>726.16300000000001</v>
      </c>
      <c r="E16" s="110">
        <v>701.10500000000002</v>
      </c>
      <c r="F16" s="169">
        <v>676.94</v>
      </c>
      <c r="G16" s="169">
        <v>656.99</v>
      </c>
      <c r="H16" s="169">
        <v>638.31200000000001</v>
      </c>
      <c r="I16" s="169">
        <v>620.05100000000004</v>
      </c>
      <c r="J16" s="321">
        <v>600.39400000000001</v>
      </c>
      <c r="K16" s="321">
        <v>580.84100000000001</v>
      </c>
      <c r="L16" s="321">
        <v>564.09900000000005</v>
      </c>
      <c r="M16" s="321"/>
      <c r="O16" s="229"/>
    </row>
    <row r="17" spans="1:15" ht="15" customHeight="1">
      <c r="A17" s="523" t="s">
        <v>582</v>
      </c>
      <c r="B17" s="110">
        <v>865.02499999999998</v>
      </c>
      <c r="C17" s="110">
        <v>861.91200000000003</v>
      </c>
      <c r="D17" s="110">
        <v>859.548</v>
      </c>
      <c r="E17" s="110">
        <v>855.34900000000005</v>
      </c>
      <c r="F17" s="169">
        <v>854.52499999999998</v>
      </c>
      <c r="G17" s="169">
        <v>850.99199999999996</v>
      </c>
      <c r="H17" s="169">
        <v>852.58699999999999</v>
      </c>
      <c r="I17" s="169">
        <v>853.56100000000004</v>
      </c>
      <c r="J17" s="321">
        <v>852.52800000000002</v>
      </c>
      <c r="K17" s="321">
        <v>859.06500000000005</v>
      </c>
      <c r="L17" s="321">
        <v>859.16899999999998</v>
      </c>
      <c r="M17" s="321"/>
      <c r="O17" s="229"/>
    </row>
    <row r="18" spans="1:15" ht="15" customHeight="1">
      <c r="A18" s="523" t="s">
        <v>591</v>
      </c>
      <c r="B18" s="110">
        <v>529.15499999999997</v>
      </c>
      <c r="C18" s="110">
        <v>530.39400000000001</v>
      </c>
      <c r="D18" s="110">
        <v>530.28099999999995</v>
      </c>
      <c r="E18" s="110">
        <v>530.91200000000003</v>
      </c>
      <c r="F18" s="169">
        <v>526.01300000000003</v>
      </c>
      <c r="G18" s="169">
        <v>527.55999999999995</v>
      </c>
      <c r="H18" s="169">
        <v>526.25099999999998</v>
      </c>
      <c r="I18" s="169">
        <v>526.79700000000003</v>
      </c>
      <c r="J18" s="321">
        <v>529.59299999999996</v>
      </c>
      <c r="K18" s="321">
        <v>527.13400000000001</v>
      </c>
      <c r="L18" s="321">
        <v>533.34500000000003</v>
      </c>
      <c r="M18" s="321"/>
      <c r="O18" s="229"/>
    </row>
    <row r="19" spans="1:15" ht="15" customHeight="1">
      <c r="A19" s="524"/>
      <c r="B19" s="110"/>
      <c r="C19" s="110"/>
      <c r="D19" s="110"/>
      <c r="E19" s="110"/>
      <c r="F19" s="169"/>
      <c r="G19" s="169"/>
      <c r="H19" s="169"/>
      <c r="I19" s="169"/>
      <c r="J19" s="321"/>
      <c r="K19" s="321"/>
      <c r="L19" s="321"/>
      <c r="M19" s="321"/>
      <c r="O19" s="229"/>
    </row>
    <row r="20" spans="1:15" ht="15" customHeight="1">
      <c r="A20" s="524" t="s">
        <v>703</v>
      </c>
      <c r="B20" s="110">
        <v>264.39999999999998</v>
      </c>
      <c r="C20" s="110">
        <v>270.8</v>
      </c>
      <c r="D20" s="110">
        <v>276.8</v>
      </c>
      <c r="E20" s="110">
        <v>276.10000000000002</v>
      </c>
      <c r="F20" s="169">
        <v>275.89999999999998</v>
      </c>
      <c r="G20" s="169">
        <v>271.60000000000002</v>
      </c>
      <c r="H20" s="169">
        <v>265.2</v>
      </c>
      <c r="I20" s="169">
        <v>269.39999999999998</v>
      </c>
      <c r="J20" s="321">
        <v>261.3</v>
      </c>
      <c r="K20" s="321">
        <v>262.60000000000002</v>
      </c>
      <c r="L20" s="321">
        <v>253.1</v>
      </c>
      <c r="M20" s="321"/>
      <c r="O20" s="229"/>
    </row>
    <row r="21" spans="1:15" ht="15" customHeight="1">
      <c r="A21" s="524" t="s">
        <v>703</v>
      </c>
      <c r="B21" s="110">
        <v>337.2</v>
      </c>
      <c r="C21" s="110">
        <v>339</v>
      </c>
      <c r="D21" s="110">
        <v>344.3</v>
      </c>
      <c r="E21" s="110">
        <v>346.5</v>
      </c>
      <c r="F21" s="169">
        <v>346.3</v>
      </c>
      <c r="G21" s="169">
        <v>340.6</v>
      </c>
      <c r="H21" s="169">
        <v>352.7</v>
      </c>
      <c r="I21" s="169">
        <v>340.8</v>
      </c>
      <c r="J21" s="321">
        <v>343.5</v>
      </c>
      <c r="K21" s="321">
        <v>344.8</v>
      </c>
      <c r="L21" s="321">
        <v>358.7</v>
      </c>
      <c r="M21" s="321"/>
      <c r="O21" s="229"/>
    </row>
    <row r="22" spans="1:15" ht="15" customHeight="1">
      <c r="A22" s="524" t="s">
        <v>703</v>
      </c>
      <c r="B22" s="110">
        <v>276.39999999999998</v>
      </c>
      <c r="C22" s="110">
        <v>272.7</v>
      </c>
      <c r="D22" s="110">
        <v>284</v>
      </c>
      <c r="E22" s="110">
        <v>286.8</v>
      </c>
      <c r="F22" s="169">
        <v>285</v>
      </c>
      <c r="G22" s="169">
        <v>291.3</v>
      </c>
      <c r="H22" s="169">
        <v>292.89999999999998</v>
      </c>
      <c r="I22" s="169">
        <v>295.2</v>
      </c>
      <c r="J22" s="321">
        <v>283.2</v>
      </c>
      <c r="K22" s="321">
        <v>279.2</v>
      </c>
      <c r="L22" s="321">
        <v>282.60000000000002</v>
      </c>
      <c r="M22" s="321"/>
      <c r="O22" s="229"/>
    </row>
    <row r="23" spans="1:15" ht="15" customHeight="1">
      <c r="A23" s="523"/>
      <c r="B23" s="110"/>
      <c r="C23" s="110"/>
      <c r="D23" s="110"/>
      <c r="E23" s="110"/>
      <c r="F23" s="169"/>
      <c r="G23" s="169"/>
      <c r="H23" s="169"/>
      <c r="I23" s="169"/>
      <c r="J23" s="321"/>
      <c r="K23" s="321"/>
      <c r="L23" s="321"/>
      <c r="M23" s="321"/>
      <c r="O23" s="229"/>
    </row>
    <row r="24" spans="1:15" ht="15" customHeight="1">
      <c r="A24" s="570" t="s">
        <v>587</v>
      </c>
      <c r="B24" s="110"/>
      <c r="C24" s="110"/>
      <c r="D24" s="110"/>
      <c r="E24" s="110"/>
      <c r="F24" s="169"/>
      <c r="G24" s="169"/>
      <c r="H24" s="169"/>
      <c r="I24" s="169"/>
      <c r="J24" s="321"/>
      <c r="K24" s="321"/>
      <c r="L24" s="321"/>
      <c r="M24" s="321"/>
      <c r="O24" s="229"/>
    </row>
    <row r="25" spans="1:15" ht="15" customHeight="1">
      <c r="A25" s="522" t="s">
        <v>588</v>
      </c>
      <c r="B25" s="110">
        <v>112.18</v>
      </c>
      <c r="C25" s="110">
        <v>107.16500000000001</v>
      </c>
      <c r="D25" s="110">
        <v>102.127</v>
      </c>
      <c r="E25" s="110">
        <v>97.006</v>
      </c>
      <c r="F25" s="169">
        <v>92.02</v>
      </c>
      <c r="G25" s="169">
        <v>87.712999999999994</v>
      </c>
      <c r="H25" s="169">
        <v>83.123999999999995</v>
      </c>
      <c r="I25" s="169">
        <v>76.06</v>
      </c>
      <c r="J25" s="321">
        <v>70.522000000000006</v>
      </c>
      <c r="K25" s="321">
        <v>66.387</v>
      </c>
      <c r="L25" s="321">
        <v>62.402000000000001</v>
      </c>
      <c r="M25" s="321"/>
      <c r="O25" s="229"/>
    </row>
    <row r="26" spans="1:15" ht="15" customHeight="1">
      <c r="A26" s="522" t="s">
        <v>589</v>
      </c>
      <c r="B26" s="110">
        <v>70.081999999999994</v>
      </c>
      <c r="C26" s="110">
        <v>68.899000000000001</v>
      </c>
      <c r="D26" s="110">
        <v>68.451999999999998</v>
      </c>
      <c r="E26" s="110">
        <v>68.736999999999995</v>
      </c>
      <c r="F26" s="169">
        <v>68.665999999999997</v>
      </c>
      <c r="G26" s="169">
        <v>69.513000000000005</v>
      </c>
      <c r="H26" s="169">
        <v>68.852999999999994</v>
      </c>
      <c r="I26" s="169">
        <v>69.08</v>
      </c>
      <c r="J26" s="321">
        <v>67.47</v>
      </c>
      <c r="K26" s="321">
        <v>66.405000000000001</v>
      </c>
      <c r="L26" s="321">
        <v>65.194000000000003</v>
      </c>
      <c r="M26" s="321"/>
      <c r="O26" s="229"/>
    </row>
    <row r="27" spans="1:15" ht="15" customHeight="1">
      <c r="A27" s="525" t="s">
        <v>590</v>
      </c>
      <c r="B27" s="365">
        <v>256.35899999999998</v>
      </c>
      <c r="C27" s="365">
        <v>251.28299999999999</v>
      </c>
      <c r="D27" s="365">
        <v>248.15299999999999</v>
      </c>
      <c r="E27" s="365">
        <v>243.40100000000001</v>
      </c>
      <c r="F27" s="366">
        <v>237.88</v>
      </c>
      <c r="G27" s="366">
        <v>233.77199999999999</v>
      </c>
      <c r="H27" s="366">
        <v>228.78899999999999</v>
      </c>
      <c r="I27" s="366">
        <v>222.15299999999999</v>
      </c>
      <c r="J27" s="367">
        <v>214.602</v>
      </c>
      <c r="K27" s="367">
        <v>207.77699999999999</v>
      </c>
      <c r="L27" s="367">
        <v>202.55</v>
      </c>
      <c r="M27" s="367"/>
      <c r="O27" s="229"/>
    </row>
    <row r="28" spans="1:15" ht="15" customHeight="1">
      <c r="A28" s="519" t="s">
        <v>23</v>
      </c>
      <c r="B28" s="110"/>
      <c r="C28" s="110"/>
      <c r="D28" s="110"/>
      <c r="E28" s="110"/>
      <c r="F28" s="169"/>
      <c r="G28" s="169"/>
      <c r="H28" s="169"/>
      <c r="I28" s="169"/>
      <c r="J28" s="321"/>
      <c r="K28" s="321"/>
      <c r="L28" s="321"/>
      <c r="M28" s="321"/>
      <c r="O28" s="229"/>
    </row>
    <row r="29" spans="1:15" ht="15" customHeight="1">
      <c r="A29" s="520" t="s">
        <v>139</v>
      </c>
      <c r="B29" s="110"/>
      <c r="C29" s="110"/>
      <c r="D29" s="110"/>
      <c r="E29" s="110"/>
      <c r="F29" s="169"/>
      <c r="G29" s="169"/>
      <c r="H29" s="169"/>
      <c r="I29" s="169"/>
      <c r="J29" s="321"/>
      <c r="K29" s="321"/>
      <c r="L29" s="321"/>
      <c r="M29" s="321"/>
      <c r="O29" s="229"/>
    </row>
    <row r="30" spans="1:15" ht="15" customHeight="1">
      <c r="A30" s="521" t="s">
        <v>373</v>
      </c>
      <c r="B30" s="110">
        <v>2473</v>
      </c>
      <c r="C30" s="110">
        <v>2473.1570000000002</v>
      </c>
      <c r="D30" s="110">
        <v>2490.8490000000002</v>
      </c>
      <c r="E30" s="110">
        <v>2509.491</v>
      </c>
      <c r="F30" s="169">
        <v>2486.2359999999999</v>
      </c>
      <c r="G30" s="169">
        <v>2479.7359999999999</v>
      </c>
      <c r="H30" s="169">
        <v>2504.221</v>
      </c>
      <c r="I30" s="169">
        <v>2548.0250000000001</v>
      </c>
      <c r="J30" s="321">
        <v>2550.884</v>
      </c>
      <c r="K30" s="321">
        <v>2555.029</v>
      </c>
      <c r="L30" s="321">
        <v>2590.067</v>
      </c>
      <c r="M30" s="321"/>
      <c r="O30" s="229"/>
    </row>
    <row r="31" spans="1:15" ht="15" customHeight="1">
      <c r="A31" s="521" t="s">
        <v>708</v>
      </c>
      <c r="B31" s="110">
        <v>285</v>
      </c>
      <c r="C31" s="110">
        <v>279</v>
      </c>
      <c r="D31" s="110">
        <v>273.661</v>
      </c>
      <c r="E31" s="110">
        <v>254.42099999999999</v>
      </c>
      <c r="F31" s="169">
        <v>232.215</v>
      </c>
      <c r="G31" s="169">
        <v>232.00700000000001</v>
      </c>
      <c r="H31" s="169">
        <v>240.78200000000001</v>
      </c>
      <c r="I31" s="169">
        <v>244.53200000000001</v>
      </c>
      <c r="J31" s="321">
        <v>236.33799999999999</v>
      </c>
      <c r="K31" s="321">
        <v>231.416</v>
      </c>
      <c r="L31" s="321">
        <v>231.87700000000001</v>
      </c>
      <c r="M31" s="321"/>
      <c r="O31" s="229"/>
    </row>
    <row r="32" spans="1:15" ht="15" customHeight="1">
      <c r="A32" s="521" t="s">
        <v>374</v>
      </c>
      <c r="B32" s="110">
        <v>293</v>
      </c>
      <c r="C32" s="110">
        <v>306</v>
      </c>
      <c r="D32" s="110">
        <v>297.39610001280897</v>
      </c>
      <c r="E32" s="110">
        <v>351.54549915190302</v>
      </c>
      <c r="F32" s="169">
        <v>332.27825384450801</v>
      </c>
      <c r="G32" s="169">
        <v>342.49213758479999</v>
      </c>
      <c r="H32" s="169">
        <v>331.43754022444699</v>
      </c>
      <c r="I32" s="169">
        <v>352.47639481782801</v>
      </c>
      <c r="J32" s="321">
        <v>349.45237444311198</v>
      </c>
      <c r="K32" s="321">
        <v>356.13872017659997</v>
      </c>
      <c r="L32" s="321">
        <v>321.38458482208802</v>
      </c>
      <c r="M32" s="321"/>
      <c r="O32" s="229"/>
    </row>
    <row r="33" spans="1:15" ht="15" customHeight="1">
      <c r="A33" s="521" t="s">
        <v>375</v>
      </c>
      <c r="B33" s="110">
        <v>210</v>
      </c>
      <c r="C33" s="110">
        <v>204</v>
      </c>
      <c r="D33" s="110">
        <v>204.45580423325626</v>
      </c>
      <c r="E33" s="110">
        <v>208.03269105684149</v>
      </c>
      <c r="F33" s="169">
        <v>206.68200000000002</v>
      </c>
      <c r="G33" s="169">
        <v>207.58113568874984</v>
      </c>
      <c r="H33" s="169">
        <v>226.18036646266046</v>
      </c>
      <c r="I33" s="169">
        <v>226.70630973342131</v>
      </c>
      <c r="J33" s="321">
        <v>225.08787813428245</v>
      </c>
      <c r="K33" s="321">
        <v>224.13509875706251</v>
      </c>
      <c r="L33" s="321">
        <v>218.67618839793192</v>
      </c>
      <c r="M33" s="321"/>
      <c r="O33" s="229"/>
    </row>
    <row r="34" spans="1:15" ht="15" customHeight="1">
      <c r="A34" s="521" t="s">
        <v>709</v>
      </c>
      <c r="B34" s="110">
        <v>231</v>
      </c>
      <c r="C34" s="110">
        <v>223</v>
      </c>
      <c r="D34" s="110">
        <v>223.124736447402</v>
      </c>
      <c r="E34" s="110">
        <v>226.01183911588717</v>
      </c>
      <c r="F34" s="169">
        <v>222.88022265011864</v>
      </c>
      <c r="G34" s="169">
        <v>222.68690586547058</v>
      </c>
      <c r="H34" s="169">
        <v>242.01783719127795</v>
      </c>
      <c r="I34" s="169">
        <v>244.78853202145467</v>
      </c>
      <c r="J34" s="321">
        <v>242.88523809677483</v>
      </c>
      <c r="K34" s="321">
        <v>240.85156223556348</v>
      </c>
      <c r="L34" s="321">
        <v>234.46955974432049</v>
      </c>
      <c r="M34" s="321"/>
      <c r="O34" s="229"/>
    </row>
    <row r="35" spans="1:15" ht="15" customHeight="1">
      <c r="A35" s="521" t="s">
        <v>708</v>
      </c>
      <c r="B35" s="110">
        <v>53</v>
      </c>
      <c r="C35" s="110">
        <v>54</v>
      </c>
      <c r="D35" s="110">
        <v>56.278057247622051</v>
      </c>
      <c r="E35" s="110">
        <v>55.935125657842605</v>
      </c>
      <c r="F35" s="169">
        <v>55.823941088066256</v>
      </c>
      <c r="G35" s="169">
        <v>59.048473776757731</v>
      </c>
      <c r="H35" s="169">
        <v>67.8434744877637</v>
      </c>
      <c r="I35" s="169">
        <v>55.855570004987669</v>
      </c>
      <c r="J35" s="321">
        <v>54.512407437595996</v>
      </c>
      <c r="K35" s="321">
        <v>57.495171133082223</v>
      </c>
      <c r="L35" s="321">
        <v>60.29410826014734</v>
      </c>
      <c r="M35" s="321"/>
      <c r="O35" s="229"/>
    </row>
    <row r="36" spans="1:15" ht="15" customHeight="1">
      <c r="A36" s="520" t="s">
        <v>515</v>
      </c>
      <c r="B36" s="110"/>
      <c r="C36" s="110"/>
      <c r="D36" s="110"/>
      <c r="E36" s="110"/>
      <c r="F36" s="169"/>
      <c r="G36" s="169"/>
      <c r="H36" s="169"/>
      <c r="I36" s="169"/>
      <c r="J36" s="321"/>
      <c r="K36" s="321"/>
      <c r="L36" s="321"/>
      <c r="M36" s="321"/>
      <c r="O36" s="229"/>
    </row>
    <row r="37" spans="1:15" ht="15" customHeight="1">
      <c r="A37" s="522" t="s">
        <v>583</v>
      </c>
      <c r="B37" s="110"/>
      <c r="C37" s="110"/>
      <c r="D37" s="110"/>
      <c r="E37" s="110"/>
      <c r="F37" s="169"/>
      <c r="G37" s="169"/>
      <c r="H37" s="169"/>
      <c r="I37" s="169"/>
      <c r="J37" s="321"/>
      <c r="K37" s="321"/>
      <c r="L37" s="321"/>
      <c r="M37" s="321"/>
      <c r="O37" s="229"/>
    </row>
    <row r="38" spans="1:15" ht="15" customHeight="1">
      <c r="A38" s="523" t="s">
        <v>559</v>
      </c>
      <c r="B38" s="110">
        <v>340.2</v>
      </c>
      <c r="C38" s="110">
        <v>330.96200000000005</v>
      </c>
      <c r="D38" s="110">
        <v>322.18899999999996</v>
      </c>
      <c r="E38" s="110">
        <v>310.75</v>
      </c>
      <c r="F38" s="169">
        <v>289.64099999999996</v>
      </c>
      <c r="G38" s="169">
        <v>268.673</v>
      </c>
      <c r="H38" s="169">
        <v>255.17699999999999</v>
      </c>
      <c r="I38" s="169">
        <v>244.45599999999999</v>
      </c>
      <c r="J38" s="321">
        <v>235.321</v>
      </c>
      <c r="K38" s="321">
        <v>229.58199999999999</v>
      </c>
      <c r="L38" s="321">
        <v>221.887</v>
      </c>
      <c r="M38" s="321"/>
      <c r="O38" s="229"/>
    </row>
    <row r="39" spans="1:15" ht="15" customHeight="1">
      <c r="A39" s="523" t="s">
        <v>582</v>
      </c>
      <c r="B39" s="110">
        <v>658.2</v>
      </c>
      <c r="C39" s="110">
        <v>656.3</v>
      </c>
      <c r="D39" s="110">
        <v>653.79999999999995</v>
      </c>
      <c r="E39" s="110">
        <v>641.94100000000003</v>
      </c>
      <c r="F39" s="169">
        <v>636.68124999999998</v>
      </c>
      <c r="G39" s="169">
        <v>638.38300000000004</v>
      </c>
      <c r="H39" s="169">
        <v>635.84500000000003</v>
      </c>
      <c r="I39" s="169">
        <v>638.94600000000003</v>
      </c>
      <c r="J39" s="321">
        <v>639.66300000000001</v>
      </c>
      <c r="K39" s="321">
        <v>646.80200000000002</v>
      </c>
      <c r="L39" s="321">
        <v>651.06399999999996</v>
      </c>
      <c r="M39" s="321"/>
      <c r="O39" s="229"/>
    </row>
    <row r="40" spans="1:15" ht="15" customHeight="1">
      <c r="A40" s="526" t="s">
        <v>591</v>
      </c>
      <c r="B40" s="365">
        <v>521</v>
      </c>
      <c r="C40" s="365">
        <v>517</v>
      </c>
      <c r="D40" s="365">
        <v>516.94399999999996</v>
      </c>
      <c r="E40" s="365">
        <v>520.39099999999996</v>
      </c>
      <c r="F40" s="366">
        <v>517.12900000000002</v>
      </c>
      <c r="G40" s="366">
        <v>489.93599999999998</v>
      </c>
      <c r="H40" s="366">
        <v>484.16500000000002</v>
      </c>
      <c r="I40" s="366">
        <v>487.43299999999999</v>
      </c>
      <c r="J40" s="367">
        <v>483.93700000000001</v>
      </c>
      <c r="K40" s="367">
        <v>487.19400000000002</v>
      </c>
      <c r="L40" s="367">
        <v>490.39100000000002</v>
      </c>
      <c r="M40" s="367"/>
      <c r="O40" s="229"/>
    </row>
    <row r="41" spans="1:15" ht="15" customHeight="1">
      <c r="A41" s="519" t="s">
        <v>13</v>
      </c>
      <c r="B41" s="110"/>
      <c r="C41" s="110"/>
      <c r="D41" s="110"/>
      <c r="E41" s="110"/>
      <c r="F41" s="169"/>
      <c r="G41" s="169"/>
      <c r="H41" s="169"/>
      <c r="I41" s="169"/>
      <c r="J41" s="321"/>
      <c r="K41" s="321"/>
      <c r="L41" s="321"/>
      <c r="M41" s="321"/>
      <c r="O41" s="229"/>
    </row>
    <row r="42" spans="1:15" ht="15" customHeight="1">
      <c r="A42" s="520" t="s">
        <v>139</v>
      </c>
      <c r="B42" s="110"/>
      <c r="C42" s="110"/>
      <c r="D42" s="110"/>
      <c r="E42" s="110"/>
      <c r="F42" s="169"/>
      <c r="G42" s="169"/>
      <c r="H42" s="169"/>
      <c r="I42" s="169"/>
      <c r="J42" s="321"/>
      <c r="K42" s="321"/>
      <c r="L42" s="321"/>
      <c r="M42" s="321"/>
      <c r="O42" s="229"/>
    </row>
    <row r="43" spans="1:15" ht="15" customHeight="1">
      <c r="A43" s="521" t="s">
        <v>373</v>
      </c>
      <c r="B43" s="110">
        <v>1679.9169999999999</v>
      </c>
      <c r="C43" s="110">
        <v>1704.2059999999999</v>
      </c>
      <c r="D43" s="110">
        <v>1728.5039999999999</v>
      </c>
      <c r="E43" s="110">
        <v>1747.9939999999999</v>
      </c>
      <c r="F43" s="169">
        <v>1770.2760000000001</v>
      </c>
      <c r="G43" s="169">
        <v>1780.297</v>
      </c>
      <c r="H43" s="169">
        <v>1788.575</v>
      </c>
      <c r="I43" s="169">
        <v>1784.2149999999999</v>
      </c>
      <c r="J43" s="321">
        <v>1796.99</v>
      </c>
      <c r="K43" s="321">
        <v>1778.5350000000001</v>
      </c>
      <c r="L43" s="321">
        <v>1776.886</v>
      </c>
      <c r="M43" s="321"/>
      <c r="O43" s="229"/>
    </row>
    <row r="44" spans="1:15" ht="15" customHeight="1">
      <c r="A44" s="521" t="s">
        <v>708</v>
      </c>
      <c r="B44" s="110">
        <v>448</v>
      </c>
      <c r="C44" s="110">
        <v>457</v>
      </c>
      <c r="D44" s="110">
        <v>447</v>
      </c>
      <c r="E44" s="110">
        <v>445</v>
      </c>
      <c r="F44" s="169">
        <v>441.404</v>
      </c>
      <c r="G44" s="169">
        <v>436.47199999999998</v>
      </c>
      <c r="H44" s="169">
        <v>434.34300000000002</v>
      </c>
      <c r="I44" s="169">
        <v>423.23099999999999</v>
      </c>
      <c r="J44" s="321">
        <v>431.18200000000002</v>
      </c>
      <c r="K44" s="321">
        <v>420.39</v>
      </c>
      <c r="L44" s="321">
        <v>435.6</v>
      </c>
      <c r="M44" s="321"/>
      <c r="O44" s="229"/>
    </row>
    <row r="45" spans="1:15" ht="15" customHeight="1">
      <c r="A45" s="521" t="s">
        <v>374</v>
      </c>
      <c r="B45" s="110">
        <v>276.76615020736199</v>
      </c>
      <c r="C45" s="110">
        <v>279.15518336341398</v>
      </c>
      <c r="D45" s="110">
        <v>268.74395956302197</v>
      </c>
      <c r="E45" s="110">
        <v>282.35271544820301</v>
      </c>
      <c r="F45" s="169">
        <v>283.10435578276901</v>
      </c>
      <c r="G45" s="169">
        <v>285.10903811740502</v>
      </c>
      <c r="H45" s="169">
        <v>270.54718006510598</v>
      </c>
      <c r="I45" s="169">
        <v>286.061109938534</v>
      </c>
      <c r="J45" s="321">
        <v>0</v>
      </c>
      <c r="K45" s="321">
        <v>0</v>
      </c>
      <c r="L45" s="321">
        <v>0</v>
      </c>
      <c r="M45" s="321"/>
      <c r="O45" s="229"/>
    </row>
    <row r="46" spans="1:15" ht="15" customHeight="1">
      <c r="A46" s="521" t="s">
        <v>375</v>
      </c>
      <c r="B46" s="110">
        <v>153.2345</v>
      </c>
      <c r="C46" s="110">
        <v>147.35979999999998</v>
      </c>
      <c r="D46" s="110">
        <v>149.904</v>
      </c>
      <c r="E46" s="110">
        <v>149.851</v>
      </c>
      <c r="F46" s="169">
        <v>144.16829999999999</v>
      </c>
      <c r="G46" s="169">
        <v>140.06819999999999</v>
      </c>
      <c r="H46" s="169">
        <v>151.85039999999998</v>
      </c>
      <c r="I46" s="169">
        <v>148.91660000000002</v>
      </c>
      <c r="J46" s="321">
        <v>151.95207540983608</v>
      </c>
      <c r="K46" s="321">
        <v>147.84219999999999</v>
      </c>
      <c r="L46" s="321">
        <v>146.02770000000001</v>
      </c>
      <c r="M46" s="321"/>
      <c r="O46" s="229"/>
    </row>
    <row r="47" spans="1:15" ht="15" customHeight="1">
      <c r="A47" s="521" t="s">
        <v>709</v>
      </c>
      <c r="B47" s="110">
        <v>168.89350000000002</v>
      </c>
      <c r="C47" s="110">
        <v>160.55619999999999</v>
      </c>
      <c r="D47" s="110">
        <v>163.22880000000001</v>
      </c>
      <c r="E47" s="110">
        <v>160.2253</v>
      </c>
      <c r="F47" s="169">
        <v>155.88929999999999</v>
      </c>
      <c r="G47" s="169">
        <v>151.54919999999998</v>
      </c>
      <c r="H47" s="169">
        <v>164.09639999999999</v>
      </c>
      <c r="I47" s="169">
        <v>161.4306</v>
      </c>
      <c r="J47" s="321">
        <v>164.7211573770492</v>
      </c>
      <c r="K47" s="321">
        <v>159.11829999999998</v>
      </c>
      <c r="L47" s="321">
        <v>154.76439999999999</v>
      </c>
      <c r="M47" s="321"/>
      <c r="O47" s="229"/>
    </row>
    <row r="48" spans="1:15" ht="15" customHeight="1">
      <c r="A48" s="521" t="s">
        <v>708</v>
      </c>
      <c r="B48" s="110">
        <v>111.85000000000001</v>
      </c>
      <c r="C48" s="110">
        <v>108.87029999999999</v>
      </c>
      <c r="D48" s="110">
        <v>114.3712</v>
      </c>
      <c r="E48" s="110">
        <v>118.72810000000001</v>
      </c>
      <c r="F48" s="169">
        <v>107.83319999999999</v>
      </c>
      <c r="G48" s="169">
        <v>103.32899999999999</v>
      </c>
      <c r="H48" s="169">
        <v>111.43859999999999</v>
      </c>
      <c r="I48" s="169">
        <v>107.6204</v>
      </c>
      <c r="J48" s="321">
        <v>107.26028852459018</v>
      </c>
      <c r="K48" s="321">
        <v>114.01389999999999</v>
      </c>
      <c r="L48" s="321">
        <v>119.8176</v>
      </c>
      <c r="M48" s="321"/>
      <c r="O48" s="229"/>
    </row>
    <row r="49" spans="1:15" ht="15" customHeight="1">
      <c r="A49" s="520" t="s">
        <v>515</v>
      </c>
      <c r="B49" s="110"/>
      <c r="C49" s="110"/>
      <c r="D49" s="110"/>
      <c r="E49" s="110"/>
      <c r="F49" s="169"/>
      <c r="G49" s="169"/>
      <c r="H49" s="169"/>
      <c r="I49" s="169"/>
      <c r="J49" s="321"/>
      <c r="K49" s="321"/>
      <c r="L49" s="321"/>
      <c r="M49" s="321"/>
      <c r="O49" s="229"/>
    </row>
    <row r="50" spans="1:15" ht="15" customHeight="1">
      <c r="A50" s="527" t="s">
        <v>413</v>
      </c>
      <c r="B50" s="110">
        <v>106</v>
      </c>
      <c r="C50" s="110">
        <v>101</v>
      </c>
      <c r="D50" s="110">
        <v>96</v>
      </c>
      <c r="E50" s="110">
        <v>97.465000000000003</v>
      </c>
      <c r="F50" s="169">
        <v>95.359000000000009</v>
      </c>
      <c r="G50" s="169">
        <v>87.911000000000001</v>
      </c>
      <c r="H50" s="169">
        <v>80.853000000000009</v>
      </c>
      <c r="I50" s="169">
        <v>76.073999999999998</v>
      </c>
      <c r="J50" s="321">
        <v>75.414999999999992</v>
      </c>
      <c r="K50" s="321">
        <v>73.221999999999994</v>
      </c>
      <c r="L50" s="321">
        <v>73.855000000000004</v>
      </c>
      <c r="M50" s="321"/>
      <c r="O50" s="229"/>
    </row>
    <row r="51" spans="1:15" ht="15" customHeight="1">
      <c r="A51" s="528" t="s">
        <v>596</v>
      </c>
      <c r="B51" s="365">
        <v>164</v>
      </c>
      <c r="C51" s="365">
        <v>161</v>
      </c>
      <c r="D51" s="365">
        <v>161</v>
      </c>
      <c r="E51" s="365">
        <v>161.41200000000001</v>
      </c>
      <c r="F51" s="366">
        <v>165.78299999999999</v>
      </c>
      <c r="G51" s="366">
        <v>165.91399999999999</v>
      </c>
      <c r="H51" s="366">
        <v>163.733</v>
      </c>
      <c r="I51" s="366">
        <v>159.17500000000001</v>
      </c>
      <c r="J51" s="367">
        <v>156.886</v>
      </c>
      <c r="K51" s="367">
        <v>154.446</v>
      </c>
      <c r="L51" s="367">
        <v>151.602</v>
      </c>
      <c r="M51" s="367"/>
      <c r="O51" s="229"/>
    </row>
    <row r="52" spans="1:15" ht="15" customHeight="1">
      <c r="A52" s="519" t="s">
        <v>17</v>
      </c>
      <c r="B52" s="110"/>
      <c r="C52" s="110"/>
      <c r="D52" s="110"/>
      <c r="E52" s="110"/>
      <c r="F52" s="169"/>
      <c r="G52" s="169"/>
      <c r="H52" s="169"/>
      <c r="I52" s="169"/>
      <c r="J52" s="321"/>
      <c r="K52" s="321"/>
      <c r="L52" s="321"/>
      <c r="M52" s="321"/>
      <c r="O52" s="229"/>
    </row>
    <row r="53" spans="1:15" ht="15" customHeight="1">
      <c r="A53" s="529" t="s">
        <v>373</v>
      </c>
      <c r="B53" s="110">
        <v>3247</v>
      </c>
      <c r="C53" s="110">
        <v>3213</v>
      </c>
      <c r="D53" s="110">
        <v>3233.2759999999998</v>
      </c>
      <c r="E53" s="110">
        <v>3255.4850000000001</v>
      </c>
      <c r="F53" s="169">
        <v>3228.45</v>
      </c>
      <c r="G53" s="169">
        <v>3219.931</v>
      </c>
      <c r="H53" s="169">
        <v>3200.8310000000001</v>
      </c>
      <c r="I53" s="169">
        <v>3163.7109999999998</v>
      </c>
      <c r="J53" s="321">
        <v>3151.0729999999999</v>
      </c>
      <c r="K53" s="321">
        <v>3178.4920000000002</v>
      </c>
      <c r="L53" s="321">
        <v>3188.712</v>
      </c>
      <c r="M53" s="321"/>
      <c r="O53" s="229"/>
    </row>
    <row r="54" spans="1:15" ht="15" customHeight="1">
      <c r="A54" s="529" t="s">
        <v>708</v>
      </c>
      <c r="B54" s="110">
        <v>1475</v>
      </c>
      <c r="C54" s="110">
        <v>1462</v>
      </c>
      <c r="D54" s="110">
        <v>1471.3440000000001</v>
      </c>
      <c r="E54" s="110">
        <v>1480.4860000000001</v>
      </c>
      <c r="F54" s="169">
        <v>1451.335</v>
      </c>
      <c r="G54" s="169">
        <v>1443.1030000000001</v>
      </c>
      <c r="H54" s="169">
        <v>1426.8810000000001</v>
      </c>
      <c r="I54" s="169">
        <v>1386.17</v>
      </c>
      <c r="J54" s="321">
        <v>1353.3530000000001</v>
      </c>
      <c r="K54" s="321">
        <v>1372.9870000000001</v>
      </c>
      <c r="L54" s="321">
        <v>1378.8789999999999</v>
      </c>
      <c r="M54" s="321"/>
      <c r="O54" s="229"/>
    </row>
    <row r="55" spans="1:15" ht="15" customHeight="1">
      <c r="A55" s="529" t="s">
        <v>374</v>
      </c>
      <c r="B55" s="110">
        <v>203</v>
      </c>
      <c r="C55" s="110">
        <v>215</v>
      </c>
      <c r="D55" s="110">
        <v>219.27415414004901</v>
      </c>
      <c r="E55" s="110">
        <v>220.81040689566899</v>
      </c>
      <c r="F55" s="169">
        <v>218.37775636777999</v>
      </c>
      <c r="G55" s="169">
        <v>225.1074196939</v>
      </c>
      <c r="H55" s="169">
        <v>226.17586422359699</v>
      </c>
      <c r="I55" s="169">
        <v>228.531906396144</v>
      </c>
      <c r="J55" s="321">
        <v>227.159445026725</v>
      </c>
      <c r="K55" s="321">
        <v>238.96955215655601</v>
      </c>
      <c r="L55" s="321">
        <v>235.810292569637</v>
      </c>
      <c r="M55" s="321"/>
      <c r="O55" s="229"/>
    </row>
    <row r="56" spans="1:15" ht="15" customHeight="1">
      <c r="A56" s="529" t="s">
        <v>375</v>
      </c>
      <c r="B56" s="110">
        <v>93</v>
      </c>
      <c r="C56" s="110">
        <v>96</v>
      </c>
      <c r="D56" s="110">
        <v>97.565844999999996</v>
      </c>
      <c r="E56" s="110">
        <v>102.451896</v>
      </c>
      <c r="F56" s="169">
        <v>101.64835877954638</v>
      </c>
      <c r="G56" s="169">
        <v>94.396322446240646</v>
      </c>
      <c r="H56" s="169">
        <v>102.65625204969201</v>
      </c>
      <c r="I56" s="169">
        <v>102.49929083152264</v>
      </c>
      <c r="J56" s="321">
        <v>102.75937704918033</v>
      </c>
      <c r="K56" s="321">
        <v>100.1452613130986</v>
      </c>
      <c r="L56" s="321">
        <v>102.17690672342492</v>
      </c>
      <c r="M56" s="321"/>
      <c r="O56" s="229"/>
    </row>
    <row r="57" spans="1:15" ht="15" customHeight="1">
      <c r="A57" s="529" t="s">
        <v>709</v>
      </c>
      <c r="B57" s="110">
        <v>138</v>
      </c>
      <c r="C57" s="110">
        <v>139</v>
      </c>
      <c r="D57" s="110">
        <v>141.16337999999999</v>
      </c>
      <c r="E57" s="110">
        <v>149.72774200000001</v>
      </c>
      <c r="F57" s="169">
        <v>150.80976461993461</v>
      </c>
      <c r="G57" s="169">
        <v>139.46435293997808</v>
      </c>
      <c r="H57" s="169">
        <v>149.60863804639393</v>
      </c>
      <c r="I57" s="169">
        <v>149.45499244379371</v>
      </c>
      <c r="J57" s="321">
        <v>151.40594098360657</v>
      </c>
      <c r="K57" s="321">
        <v>145.34982443210833</v>
      </c>
      <c r="L57" s="321">
        <v>148.3627955353339</v>
      </c>
      <c r="M57" s="321"/>
      <c r="O57" s="229"/>
    </row>
    <row r="58" spans="1:15" ht="15" customHeight="1">
      <c r="A58" s="529" t="s">
        <v>708</v>
      </c>
      <c r="B58" s="110">
        <v>39</v>
      </c>
      <c r="C58" s="110">
        <v>45</v>
      </c>
      <c r="D58" s="110">
        <v>45.247160000000001</v>
      </c>
      <c r="E58" s="110">
        <v>45.698195999999996</v>
      </c>
      <c r="F58" s="169">
        <v>42.118979501069461</v>
      </c>
      <c r="G58" s="169">
        <v>39.025145592764247</v>
      </c>
      <c r="H58" s="169">
        <v>44.739314268772105</v>
      </c>
      <c r="I58" s="169">
        <v>42.921073860890466</v>
      </c>
      <c r="J58" s="321">
        <v>38.843960655737703</v>
      </c>
      <c r="K58" s="321">
        <v>40.462129022483325</v>
      </c>
      <c r="L58" s="321">
        <v>41.337952980728481</v>
      </c>
      <c r="M58" s="321"/>
      <c r="O58" s="229"/>
    </row>
    <row r="59" spans="1:15" ht="15" customHeight="1">
      <c r="A59" s="530" t="s">
        <v>609</v>
      </c>
      <c r="B59" s="369"/>
      <c r="C59" s="369"/>
      <c r="D59" s="369"/>
      <c r="E59" s="369"/>
      <c r="F59" s="370"/>
      <c r="G59" s="370"/>
      <c r="H59" s="370"/>
      <c r="I59" s="370"/>
      <c r="J59" s="371"/>
      <c r="K59" s="371"/>
      <c r="L59" s="371"/>
      <c r="M59" s="371"/>
      <c r="O59" s="229"/>
    </row>
    <row r="60" spans="1:15" ht="15" customHeight="1">
      <c r="A60" s="529" t="s">
        <v>373</v>
      </c>
      <c r="B60" s="110">
        <v>3971</v>
      </c>
      <c r="C60" s="110">
        <v>4005</v>
      </c>
      <c r="D60" s="110">
        <v>4046.81</v>
      </c>
      <c r="E60" s="110">
        <v>3900.96</v>
      </c>
      <c r="F60" s="169">
        <v>3814.02</v>
      </c>
      <c r="G60" s="169">
        <v>3762.13</v>
      </c>
      <c r="H60" s="169">
        <v>3762.08</v>
      </c>
      <c r="I60" s="169">
        <v>3583.36</v>
      </c>
      <c r="J60" s="321">
        <v>3523.6</v>
      </c>
      <c r="K60" s="321">
        <v>3502.2</v>
      </c>
      <c r="L60" s="321">
        <v>3539.64</v>
      </c>
      <c r="M60" s="321"/>
      <c r="O60" s="229"/>
    </row>
    <row r="61" spans="1:15" ht="15" customHeight="1">
      <c r="A61" s="529" t="s">
        <v>708</v>
      </c>
      <c r="B61" s="110">
        <v>1228</v>
      </c>
      <c r="C61" s="110">
        <v>1229</v>
      </c>
      <c r="D61" s="110">
        <v>1258.02</v>
      </c>
      <c r="E61" s="110">
        <v>1166.96</v>
      </c>
      <c r="F61" s="169">
        <v>1125.3800000000001</v>
      </c>
      <c r="G61" s="169">
        <v>1130.23</v>
      </c>
      <c r="H61" s="169">
        <v>1162.99</v>
      </c>
      <c r="I61" s="169">
        <v>995.31</v>
      </c>
      <c r="J61" s="321">
        <v>953.6</v>
      </c>
      <c r="K61" s="321">
        <v>947.52</v>
      </c>
      <c r="L61" s="321">
        <v>1006.48</v>
      </c>
      <c r="M61" s="321"/>
      <c r="O61" s="229"/>
    </row>
    <row r="62" spans="1:15" ht="15" customHeight="1">
      <c r="A62" s="529" t="s">
        <v>374</v>
      </c>
      <c r="B62" s="110">
        <v>181</v>
      </c>
      <c r="C62" s="110">
        <v>188</v>
      </c>
      <c r="D62" s="110">
        <v>188</v>
      </c>
      <c r="E62" s="110">
        <v>189.02</v>
      </c>
      <c r="F62" s="169">
        <v>190.16</v>
      </c>
      <c r="G62" s="169">
        <v>204.443012529817</v>
      </c>
      <c r="H62" s="169">
        <v>209.055597310542</v>
      </c>
      <c r="I62" s="169">
        <v>221.215428031659</v>
      </c>
      <c r="J62" s="321">
        <v>229.83771639679901</v>
      </c>
      <c r="K62" s="321">
        <v>239.90914062411801</v>
      </c>
      <c r="L62" s="321">
        <v>244.18655897126399</v>
      </c>
      <c r="M62" s="321"/>
      <c r="O62" s="229"/>
    </row>
    <row r="63" spans="1:15" ht="15" customHeight="1">
      <c r="A63" s="529" t="s">
        <v>375</v>
      </c>
      <c r="B63" s="110">
        <v>45</v>
      </c>
      <c r="C63" s="110">
        <v>46</v>
      </c>
      <c r="D63" s="110">
        <v>48.954984000000003</v>
      </c>
      <c r="E63" s="110">
        <v>50.268144000000007</v>
      </c>
      <c r="F63" s="169">
        <v>48.887369999999997</v>
      </c>
      <c r="G63" s="169">
        <v>49.629931999999997</v>
      </c>
      <c r="H63" s="169">
        <v>54.571295999999997</v>
      </c>
      <c r="I63" s="169">
        <v>56.897735999999995</v>
      </c>
      <c r="J63" s="321">
        <v>58.839798688524588</v>
      </c>
      <c r="K63" s="321">
        <v>60.092955000000003</v>
      </c>
      <c r="L63" s="321">
        <v>62.500788</v>
      </c>
      <c r="M63" s="321"/>
      <c r="O63" s="229"/>
    </row>
    <row r="64" spans="1:15" ht="15" customHeight="1">
      <c r="A64" s="529" t="s">
        <v>709</v>
      </c>
      <c r="B64" s="110">
        <v>59</v>
      </c>
      <c r="C64" s="110">
        <v>60</v>
      </c>
      <c r="D64" s="110">
        <v>60.886968000000003</v>
      </c>
      <c r="E64" s="110">
        <v>62.023696000000001</v>
      </c>
      <c r="F64" s="169">
        <v>61.343603999999999</v>
      </c>
      <c r="G64" s="169">
        <v>61.544620000000002</v>
      </c>
      <c r="H64" s="169">
        <v>67.653456000000006</v>
      </c>
      <c r="I64" s="169">
        <v>69.785646</v>
      </c>
      <c r="J64" s="321">
        <v>71.942369754098351</v>
      </c>
      <c r="K64" s="321">
        <v>72.530910000000006</v>
      </c>
      <c r="L64" s="321">
        <v>75.323898</v>
      </c>
      <c r="M64" s="321"/>
      <c r="O64" s="229"/>
    </row>
    <row r="65" spans="1:15" ht="15" customHeight="1">
      <c r="A65" s="531" t="s">
        <v>708</v>
      </c>
      <c r="B65" s="365">
        <v>14</v>
      </c>
      <c r="C65" s="365">
        <v>16</v>
      </c>
      <c r="D65" s="365">
        <v>22.467672</v>
      </c>
      <c r="E65" s="365">
        <v>23.379512000000002</v>
      </c>
      <c r="F65" s="366">
        <v>19.688886</v>
      </c>
      <c r="G65" s="366">
        <v>21.420155999999999</v>
      </c>
      <c r="H65" s="366">
        <v>24.996269999999999</v>
      </c>
      <c r="I65" s="366">
        <v>25.728086999999999</v>
      </c>
      <c r="J65" s="367">
        <v>24.159387540983605</v>
      </c>
      <c r="K65" s="367">
        <v>26.162595000000003</v>
      </c>
      <c r="L65" s="367">
        <v>29.540645999999999</v>
      </c>
      <c r="M65" s="367"/>
      <c r="O65" s="229"/>
    </row>
    <row r="66" spans="1:15" ht="15" customHeight="1">
      <c r="A66" s="519" t="s">
        <v>620</v>
      </c>
      <c r="B66" s="110"/>
      <c r="C66" s="110"/>
      <c r="D66" s="110"/>
      <c r="E66" s="110"/>
      <c r="F66" s="169"/>
      <c r="G66" s="169"/>
      <c r="H66" s="169"/>
      <c r="I66" s="169"/>
      <c r="J66" s="321"/>
      <c r="K66" s="321"/>
      <c r="L66" s="321"/>
      <c r="M66" s="321"/>
      <c r="O66" s="229"/>
    </row>
    <row r="67" spans="1:15" ht="15" customHeight="1">
      <c r="A67" s="529" t="s">
        <v>373</v>
      </c>
      <c r="B67" s="110">
        <v>3467</v>
      </c>
      <c r="C67" s="110">
        <v>3504</v>
      </c>
      <c r="D67" s="110">
        <v>3655.8180000000002</v>
      </c>
      <c r="E67" s="110">
        <v>3585.326</v>
      </c>
      <c r="F67" s="169">
        <v>3530.06</v>
      </c>
      <c r="G67" s="169">
        <v>3518.2629999999999</v>
      </c>
      <c r="H67" s="169">
        <v>3592.931</v>
      </c>
      <c r="I67" s="169">
        <v>3442.576</v>
      </c>
      <c r="J67" s="321">
        <v>3383.5520000000001</v>
      </c>
      <c r="K67" s="321">
        <v>3385.145</v>
      </c>
      <c r="L67" s="321">
        <v>3487.3049999999998</v>
      </c>
      <c r="M67" s="321"/>
      <c r="O67" s="229"/>
    </row>
    <row r="68" spans="1:15" ht="15" customHeight="1">
      <c r="A68" s="529" t="s">
        <v>708</v>
      </c>
      <c r="B68" s="110">
        <v>1885</v>
      </c>
      <c r="C68" s="110">
        <v>1902</v>
      </c>
      <c r="D68" s="110">
        <v>2033.876</v>
      </c>
      <c r="E68" s="110">
        <v>1947.2349999999999</v>
      </c>
      <c r="F68" s="169">
        <v>1886.7760000000001</v>
      </c>
      <c r="G68" s="169">
        <v>1870.8340000000001</v>
      </c>
      <c r="H68" s="169">
        <v>1934.3430000000001</v>
      </c>
      <c r="I68" s="169">
        <v>1775.7550000000001</v>
      </c>
      <c r="J68" s="321">
        <v>1714.3</v>
      </c>
      <c r="K68" s="321">
        <v>1708.106</v>
      </c>
      <c r="L68" s="321">
        <v>1801.8440000000001</v>
      </c>
      <c r="M68" s="321"/>
      <c r="O68" s="229"/>
    </row>
    <row r="69" spans="1:15" ht="15" customHeight="1">
      <c r="A69" s="529" t="s">
        <v>374</v>
      </c>
      <c r="B69" s="110">
        <v>178</v>
      </c>
      <c r="C69" s="110">
        <v>192</v>
      </c>
      <c r="D69" s="110">
        <v>187</v>
      </c>
      <c r="E69" s="110">
        <v>190</v>
      </c>
      <c r="F69" s="169">
        <v>181.09373499563188</v>
      </c>
      <c r="G69" s="169">
        <v>193</v>
      </c>
      <c r="H69" s="169">
        <v>184.8643533605069</v>
      </c>
      <c r="I69" s="169">
        <v>188.74714590020037</v>
      </c>
      <c r="J69" s="321">
        <v>184.05344049786629</v>
      </c>
      <c r="K69" s="321">
        <v>192.49303717232397</v>
      </c>
      <c r="L69" s="321">
        <v>183.46354091370833</v>
      </c>
      <c r="M69" s="321"/>
      <c r="O69" s="229"/>
    </row>
    <row r="70" spans="1:15" ht="15" customHeight="1">
      <c r="A70" s="529" t="s">
        <v>375</v>
      </c>
      <c r="B70" s="110">
        <v>69.56496860654039</v>
      </c>
      <c r="C70" s="110">
        <v>72.768908558299074</v>
      </c>
      <c r="D70" s="110">
        <v>75.2344605413913</v>
      </c>
      <c r="E70" s="110">
        <v>72.471641967172118</v>
      </c>
      <c r="F70" s="169">
        <v>69.32491579078085</v>
      </c>
      <c r="G70" s="169">
        <v>75.099999999999994</v>
      </c>
      <c r="H70" s="169">
        <v>83.907176490763831</v>
      </c>
      <c r="I70" s="169">
        <v>78.504384224648263</v>
      </c>
      <c r="J70" s="321">
        <v>79.368505858391771</v>
      </c>
      <c r="K70" s="321">
        <v>80.151860356793577</v>
      </c>
      <c r="L70" s="321">
        <v>81.535448793936624</v>
      </c>
      <c r="M70" s="321"/>
      <c r="O70" s="229"/>
    </row>
    <row r="71" spans="1:15" ht="15" customHeight="1">
      <c r="A71" s="529" t="s">
        <v>709</v>
      </c>
      <c r="B71" s="110">
        <v>113.64081148572281</v>
      </c>
      <c r="C71" s="110">
        <v>115.74385946945502</v>
      </c>
      <c r="D71" s="110">
        <v>121.48706796388574</v>
      </c>
      <c r="E71" s="110">
        <v>118.6493895685302</v>
      </c>
      <c r="F71" s="169">
        <v>113.56108499661997</v>
      </c>
      <c r="G71" s="169">
        <v>119.8</v>
      </c>
      <c r="H71" s="169">
        <v>132.23240418720812</v>
      </c>
      <c r="I71" s="169">
        <v>133.97375450464523</v>
      </c>
      <c r="J71" s="321">
        <v>127.89668517929989</v>
      </c>
      <c r="K71" s="321">
        <v>128.04315055559908</v>
      </c>
      <c r="L71" s="321">
        <v>129.77093581696903</v>
      </c>
      <c r="M71" s="321"/>
      <c r="O71" s="229"/>
    </row>
    <row r="72" spans="1:15" ht="15" customHeight="1">
      <c r="A72" s="531" t="s">
        <v>708</v>
      </c>
      <c r="B72" s="365">
        <v>33.645162856775571</v>
      </c>
      <c r="C72" s="365">
        <v>37.004915005799838</v>
      </c>
      <c r="D72" s="365">
        <v>38.826660056514854</v>
      </c>
      <c r="E72" s="365">
        <v>35.625745129513284</v>
      </c>
      <c r="F72" s="366">
        <v>32.468807823609694</v>
      </c>
      <c r="G72" s="366">
        <v>36.9</v>
      </c>
      <c r="H72" s="366">
        <v>44.42728845567234</v>
      </c>
      <c r="I72" s="366">
        <v>42.693594268447718</v>
      </c>
      <c r="J72" s="367">
        <v>37.331848632136392</v>
      </c>
      <c r="K72" s="367">
        <v>38.735525629682392</v>
      </c>
      <c r="L72" s="367">
        <v>42.623566553670166</v>
      </c>
      <c r="M72" s="367"/>
      <c r="O72" s="229"/>
    </row>
    <row r="73" spans="1:15" ht="15" customHeight="1">
      <c r="A73" s="519" t="s">
        <v>637</v>
      </c>
      <c r="B73" s="110"/>
      <c r="C73" s="110"/>
      <c r="D73" s="110"/>
      <c r="E73" s="110"/>
      <c r="F73" s="169"/>
      <c r="G73" s="169"/>
      <c r="H73" s="169"/>
      <c r="I73" s="169"/>
      <c r="J73" s="321"/>
      <c r="K73" s="321"/>
      <c r="L73" s="321"/>
      <c r="M73" s="321"/>
      <c r="O73" s="229"/>
    </row>
    <row r="74" spans="1:15" ht="15" customHeight="1">
      <c r="A74" s="529" t="s">
        <v>373</v>
      </c>
      <c r="B74" s="110">
        <v>28226</v>
      </c>
      <c r="C74" s="110">
        <v>28039</v>
      </c>
      <c r="D74" s="110">
        <v>27779.861000000001</v>
      </c>
      <c r="E74" s="110">
        <v>28007.773000000001</v>
      </c>
      <c r="F74" s="169">
        <v>28426.508999999998</v>
      </c>
      <c r="G74" s="169">
        <v>26942.962</v>
      </c>
      <c r="H74" s="169">
        <v>24851.276000000002</v>
      </c>
      <c r="I74" s="169">
        <v>25251.678</v>
      </c>
      <c r="J74" s="321">
        <v>25477</v>
      </c>
      <c r="K74" s="321">
        <v>24952.602999999999</v>
      </c>
      <c r="L74" s="321">
        <v>24820.462</v>
      </c>
      <c r="M74" s="321"/>
      <c r="O74" s="229"/>
    </row>
    <row r="75" spans="1:15" ht="15" customHeight="1">
      <c r="A75" s="529" t="s">
        <v>708</v>
      </c>
      <c r="B75" s="110">
        <v>24626</v>
      </c>
      <c r="C75" s="110">
        <v>24380</v>
      </c>
      <c r="D75" s="110">
        <v>24033.223999999998</v>
      </c>
      <c r="E75" s="110">
        <v>24158.69</v>
      </c>
      <c r="F75" s="169">
        <v>24421.951000000001</v>
      </c>
      <c r="G75" s="169">
        <v>22854.852999999999</v>
      </c>
      <c r="H75" s="169">
        <v>20735.637999999999</v>
      </c>
      <c r="I75" s="169">
        <v>20928.11</v>
      </c>
      <c r="J75" s="321">
        <v>21045</v>
      </c>
      <c r="K75" s="321">
        <v>20330.04</v>
      </c>
      <c r="L75" s="321">
        <v>20002.510999999999</v>
      </c>
      <c r="M75" s="321"/>
      <c r="O75" s="229"/>
    </row>
    <row r="76" spans="1:15" ht="15" customHeight="1">
      <c r="A76" s="529" t="s">
        <v>374</v>
      </c>
      <c r="B76" s="110">
        <v>249</v>
      </c>
      <c r="C76" s="110">
        <v>235</v>
      </c>
      <c r="D76" s="110">
        <v>229.43636802090299</v>
      </c>
      <c r="E76" s="110">
        <v>227.81366737692301</v>
      </c>
      <c r="F76" s="169">
        <v>214.051161913767</v>
      </c>
      <c r="G76" s="169">
        <v>203.95538559940999</v>
      </c>
      <c r="H76" s="169">
        <v>206.011099247846</v>
      </c>
      <c r="I76" s="169">
        <v>209.90819827000601</v>
      </c>
      <c r="J76" s="321">
        <v>193.730212313132</v>
      </c>
      <c r="K76" s="321">
        <v>176.45378393998601</v>
      </c>
      <c r="L76" s="321">
        <v>169.14348016692699</v>
      </c>
      <c r="M76" s="321"/>
      <c r="O76" s="229"/>
    </row>
    <row r="77" spans="1:15" ht="15" customHeight="1">
      <c r="A77" s="529" t="s">
        <v>375</v>
      </c>
      <c r="B77" s="110">
        <v>42</v>
      </c>
      <c r="C77" s="110">
        <v>41</v>
      </c>
      <c r="D77" s="110">
        <v>42.412669999999999</v>
      </c>
      <c r="E77" s="110">
        <v>46.313938081987992</v>
      </c>
      <c r="F77" s="169">
        <v>50.903924528810002</v>
      </c>
      <c r="G77" s="169">
        <v>50.131789145550002</v>
      </c>
      <c r="H77" s="169">
        <v>51.243411799999997</v>
      </c>
      <c r="I77" s="169">
        <v>55.752689999999994</v>
      </c>
      <c r="J77" s="321">
        <v>55.198848572950823</v>
      </c>
      <c r="K77" s="321">
        <v>52.635371739999997</v>
      </c>
      <c r="L77" s="321">
        <v>55.15410241</v>
      </c>
      <c r="M77" s="321"/>
      <c r="O77" s="229"/>
    </row>
    <row r="78" spans="1:15" ht="15" customHeight="1">
      <c r="A78" s="529" t="s">
        <v>709</v>
      </c>
      <c r="B78" s="110">
        <v>115</v>
      </c>
      <c r="C78" s="110">
        <v>113</v>
      </c>
      <c r="D78" s="110">
        <v>113.85641</v>
      </c>
      <c r="E78" s="110">
        <v>120.71870447455798</v>
      </c>
      <c r="F78" s="169">
        <v>135.18458217384</v>
      </c>
      <c r="G78" s="169">
        <v>126.91282865814</v>
      </c>
      <c r="H78" s="169">
        <v>124.400226</v>
      </c>
      <c r="I78" s="169">
        <v>126.12333999999998</v>
      </c>
      <c r="J78" s="321">
        <v>125.56650017049181</v>
      </c>
      <c r="K78" s="321">
        <v>122.48636384</v>
      </c>
      <c r="L78" s="321">
        <v>125.72239117000001</v>
      </c>
      <c r="M78" s="321"/>
      <c r="O78" s="229"/>
    </row>
    <row r="79" spans="1:15" ht="15" customHeight="1">
      <c r="A79" s="531" t="s">
        <v>708</v>
      </c>
      <c r="B79" s="365">
        <v>31</v>
      </c>
      <c r="C79" s="365">
        <v>31</v>
      </c>
      <c r="D79" s="365">
        <v>31.49344</v>
      </c>
      <c r="E79" s="365">
        <v>34.64819889644</v>
      </c>
      <c r="F79" s="366">
        <v>37.352514939749994</v>
      </c>
      <c r="G79" s="366">
        <v>37.064782422360004</v>
      </c>
      <c r="H79" s="366">
        <v>37.806265000000003</v>
      </c>
      <c r="I79" s="366">
        <v>41.3852726</v>
      </c>
      <c r="J79" s="367">
        <v>40.589650570327869</v>
      </c>
      <c r="K79" s="367">
        <v>37.369055260000003</v>
      </c>
      <c r="L79" s="367">
        <v>38.6413583</v>
      </c>
      <c r="M79" s="367"/>
      <c r="O79" s="229"/>
    </row>
    <row r="80" spans="1:15" ht="15" customHeight="1">
      <c r="A80" s="519" t="s">
        <v>646</v>
      </c>
      <c r="B80" s="110"/>
      <c r="C80" s="110"/>
      <c r="D80" s="110"/>
      <c r="E80" s="110"/>
      <c r="F80" s="169"/>
      <c r="G80" s="169"/>
      <c r="H80" s="169"/>
      <c r="I80" s="169"/>
      <c r="J80" s="321"/>
      <c r="K80" s="321"/>
      <c r="L80" s="321"/>
      <c r="M80" s="321"/>
      <c r="O80" s="229"/>
    </row>
    <row r="81" spans="1:15" ht="15" customHeight="1">
      <c r="A81" s="529" t="s">
        <v>373</v>
      </c>
      <c r="B81" s="110">
        <v>10886</v>
      </c>
      <c r="C81" s="110">
        <v>10903</v>
      </c>
      <c r="D81" s="110">
        <v>11345</v>
      </c>
      <c r="E81" s="110">
        <v>11421</v>
      </c>
      <c r="F81" s="169">
        <v>11692</v>
      </c>
      <c r="G81" s="169">
        <v>11815</v>
      </c>
      <c r="H81" s="169">
        <v>11676</v>
      </c>
      <c r="I81" s="169">
        <v>12125</v>
      </c>
      <c r="J81" s="321">
        <v>12336</v>
      </c>
      <c r="K81" s="321">
        <v>12347.254000000001</v>
      </c>
      <c r="L81" s="321">
        <v>12249.494000000001</v>
      </c>
      <c r="M81" s="321"/>
      <c r="O81" s="229"/>
    </row>
    <row r="82" spans="1:15" ht="15" customHeight="1">
      <c r="A82" s="529" t="s">
        <v>708</v>
      </c>
      <c r="B82" s="110">
        <v>9199</v>
      </c>
      <c r="C82" s="110">
        <v>9207</v>
      </c>
      <c r="D82" s="110">
        <v>9647</v>
      </c>
      <c r="E82" s="110">
        <v>9700</v>
      </c>
      <c r="F82" s="169">
        <v>9934</v>
      </c>
      <c r="G82" s="169">
        <v>10044</v>
      </c>
      <c r="H82" s="169">
        <v>9900</v>
      </c>
      <c r="I82" s="169">
        <v>10285</v>
      </c>
      <c r="J82" s="321">
        <v>10434</v>
      </c>
      <c r="K82" s="321">
        <v>10393.243</v>
      </c>
      <c r="L82" s="321">
        <v>10255.439</v>
      </c>
      <c r="M82" s="321"/>
      <c r="O82" s="229"/>
    </row>
    <row r="83" spans="1:15" ht="15" customHeight="1">
      <c r="A83" s="529" t="s">
        <v>374</v>
      </c>
      <c r="B83" s="110">
        <v>249</v>
      </c>
      <c r="C83" s="110">
        <v>251</v>
      </c>
      <c r="D83" s="110">
        <v>253.310216794269</v>
      </c>
      <c r="E83" s="110">
        <v>247.50576744464701</v>
      </c>
      <c r="F83" s="169">
        <v>235.06317156689099</v>
      </c>
      <c r="G83" s="169">
        <v>240.07795116417699</v>
      </c>
      <c r="H83" s="169">
        <v>225.77425467590601</v>
      </c>
      <c r="I83" s="169">
        <v>222.38081644304799</v>
      </c>
      <c r="J83" s="321">
        <v>217.91305296459899</v>
      </c>
      <c r="K83" s="321">
        <v>202.862645238667</v>
      </c>
      <c r="L83" s="321">
        <v>182.126889263919</v>
      </c>
      <c r="M83" s="321"/>
      <c r="O83" s="229"/>
    </row>
    <row r="84" spans="1:15" ht="15" customHeight="1">
      <c r="A84" s="529" t="s">
        <v>375</v>
      </c>
      <c r="B84" s="110">
        <v>87</v>
      </c>
      <c r="C84" s="110">
        <v>88</v>
      </c>
      <c r="D84" s="110">
        <v>91.967165000000008</v>
      </c>
      <c r="E84" s="110">
        <v>96.883409999999998</v>
      </c>
      <c r="F84" s="169">
        <v>97.460999999999999</v>
      </c>
      <c r="G84" s="169">
        <v>95.015448000000021</v>
      </c>
      <c r="H84" s="169">
        <v>90.509160000000008</v>
      </c>
      <c r="I84" s="169">
        <v>87.902716999999996</v>
      </c>
      <c r="J84" s="321">
        <v>85.929779590163932</v>
      </c>
      <c r="K84" s="321">
        <v>86.483381999999992</v>
      </c>
      <c r="L84" s="321">
        <v>84.963907272315353</v>
      </c>
      <c r="M84" s="321"/>
      <c r="O84" s="229"/>
    </row>
    <row r="85" spans="1:15" ht="15" customHeight="1">
      <c r="A85" s="529" t="s">
        <v>709</v>
      </c>
      <c r="B85" s="110">
        <v>150</v>
      </c>
      <c r="C85" s="110">
        <v>153</v>
      </c>
      <c r="D85" s="110">
        <v>159.72524000000001</v>
      </c>
      <c r="E85" s="110">
        <v>168.48933599999998</v>
      </c>
      <c r="F85" s="169">
        <v>173.33063999999999</v>
      </c>
      <c r="G85" s="169">
        <v>173.55985800000002</v>
      </c>
      <c r="H85" s="169">
        <v>163.73782</v>
      </c>
      <c r="I85" s="169">
        <v>159.90453499999998</v>
      </c>
      <c r="J85" s="321">
        <v>165.84385655737705</v>
      </c>
      <c r="K85" s="321">
        <v>170.020106</v>
      </c>
      <c r="L85" s="321">
        <v>165.19327641960473</v>
      </c>
      <c r="M85" s="321"/>
      <c r="O85" s="229"/>
    </row>
    <row r="86" spans="1:15" ht="15" customHeight="1">
      <c r="A86" s="531" t="s">
        <v>708</v>
      </c>
      <c r="B86" s="365">
        <v>75</v>
      </c>
      <c r="C86" s="365">
        <v>76</v>
      </c>
      <c r="D86" s="365">
        <v>79.764844999999994</v>
      </c>
      <c r="E86" s="365">
        <v>84.183413999999985</v>
      </c>
      <c r="F86" s="366">
        <v>84.009239999999991</v>
      </c>
      <c r="G86" s="366">
        <v>81.063759000000005</v>
      </c>
      <c r="H86" s="366">
        <v>77.477629999999991</v>
      </c>
      <c r="I86" s="366">
        <v>74.967067</v>
      </c>
      <c r="J86" s="367">
        <v>71.673388442622951</v>
      </c>
      <c r="K86" s="367">
        <v>70.850208223110826</v>
      </c>
      <c r="L86" s="367">
        <v>69.80491542078525</v>
      </c>
      <c r="M86" s="367"/>
      <c r="O86" s="229"/>
    </row>
    <row r="87" spans="1:15" ht="15" customHeight="1">
      <c r="A87" s="519" t="s">
        <v>494</v>
      </c>
      <c r="B87" s="110"/>
      <c r="C87" s="110"/>
      <c r="D87" s="110"/>
      <c r="E87" s="110"/>
      <c r="F87" s="169"/>
      <c r="G87" s="169"/>
      <c r="H87" s="169"/>
      <c r="I87" s="169"/>
      <c r="J87" s="321"/>
      <c r="K87" s="321"/>
      <c r="L87" s="321"/>
      <c r="M87" s="321"/>
      <c r="O87" s="229"/>
    </row>
    <row r="88" spans="1:15" ht="15" customHeight="1">
      <c r="A88" s="529" t="s">
        <v>373</v>
      </c>
      <c r="B88" s="110">
        <v>48683</v>
      </c>
      <c r="C88" s="110">
        <v>49233</v>
      </c>
      <c r="D88" s="110">
        <v>50290.75</v>
      </c>
      <c r="E88" s="110">
        <v>51503.607000000004</v>
      </c>
      <c r="F88" s="169">
        <v>52005.856</v>
      </c>
      <c r="G88" s="169">
        <v>53128.696000000004</v>
      </c>
      <c r="H88" s="169">
        <v>55510.777000000002</v>
      </c>
      <c r="I88" s="169">
        <v>56679.411999999997</v>
      </c>
      <c r="J88" s="321">
        <v>56284.694000000003</v>
      </c>
      <c r="K88" s="321">
        <v>56908.716999999997</v>
      </c>
      <c r="L88" s="321">
        <v>55015.08</v>
      </c>
      <c r="M88" s="321"/>
      <c r="O88" s="229"/>
    </row>
    <row r="89" spans="1:15" ht="15" customHeight="1">
      <c r="A89" s="529" t="s">
        <v>708</v>
      </c>
      <c r="B89" s="110">
        <v>48076</v>
      </c>
      <c r="C89" s="110">
        <v>48596</v>
      </c>
      <c r="D89" s="110">
        <v>49639.095999999998</v>
      </c>
      <c r="E89" s="110">
        <v>50836.232000000004</v>
      </c>
      <c r="F89" s="169">
        <v>51332.538</v>
      </c>
      <c r="G89" s="169">
        <v>52428.542999999998</v>
      </c>
      <c r="H89" s="169">
        <v>54797.675999999999</v>
      </c>
      <c r="I89" s="169">
        <v>55962.654000000002</v>
      </c>
      <c r="J89" s="321">
        <v>55537.63</v>
      </c>
      <c r="K89" s="321">
        <v>56140.152000000002</v>
      </c>
      <c r="L89" s="321">
        <v>54227.235999999997</v>
      </c>
      <c r="M89" s="321"/>
      <c r="O89" s="229"/>
    </row>
    <row r="90" spans="1:15" ht="15" customHeight="1">
      <c r="A90" s="529" t="s">
        <v>374</v>
      </c>
      <c r="B90" s="110">
        <v>243</v>
      </c>
      <c r="C90" s="110">
        <v>253</v>
      </c>
      <c r="D90" s="110">
        <v>246.886861415281</v>
      </c>
      <c r="E90" s="110">
        <v>241.961912632923</v>
      </c>
      <c r="F90" s="169">
        <v>243.17052397232101</v>
      </c>
      <c r="G90" s="169">
        <v>253.94571910455099</v>
      </c>
      <c r="H90" s="169">
        <v>252.36265619162199</v>
      </c>
      <c r="I90" s="169">
        <v>247.33850616223</v>
      </c>
      <c r="J90" s="321">
        <v>256.61139234169201</v>
      </c>
      <c r="K90" s="321">
        <v>263.01653347276402</v>
      </c>
      <c r="L90" s="321">
        <v>270.99443789416398</v>
      </c>
      <c r="M90" s="321"/>
      <c r="O90" s="229"/>
    </row>
    <row r="91" spans="1:15" ht="15" customHeight="1">
      <c r="A91" s="529" t="s">
        <v>375</v>
      </c>
      <c r="B91" s="110">
        <v>13</v>
      </c>
      <c r="C91" s="110">
        <v>13</v>
      </c>
      <c r="D91" s="110">
        <v>13.299000000000001</v>
      </c>
      <c r="E91" s="110">
        <v>14.2646</v>
      </c>
      <c r="F91" s="169">
        <v>15.4535</v>
      </c>
      <c r="G91" s="169">
        <v>15.8523</v>
      </c>
      <c r="H91" s="169">
        <v>16.447554199999999</v>
      </c>
      <c r="I91" s="169">
        <v>16.519138999999999</v>
      </c>
      <c r="J91" s="321">
        <v>17.177622969068924</v>
      </c>
      <c r="K91" s="321">
        <v>16.571409599999999</v>
      </c>
      <c r="L91" s="321">
        <v>17.906382000000001</v>
      </c>
      <c r="M91" s="321"/>
      <c r="O91" s="229"/>
    </row>
    <row r="92" spans="1:15" ht="15" customHeight="1">
      <c r="A92" s="529" t="s">
        <v>709</v>
      </c>
      <c r="B92" s="110">
        <v>47</v>
      </c>
      <c r="C92" s="110">
        <v>46</v>
      </c>
      <c r="D92" s="110">
        <v>46.909200000000006</v>
      </c>
      <c r="E92" s="110">
        <v>50.856400000000001</v>
      </c>
      <c r="F92" s="169">
        <v>52.741299999999995</v>
      </c>
      <c r="G92" s="169">
        <v>54.735299999999995</v>
      </c>
      <c r="H92" s="169">
        <v>56.280282100000001</v>
      </c>
      <c r="I92" s="169">
        <v>58.58386500000001</v>
      </c>
      <c r="J92" s="321">
        <v>56.277521225603792</v>
      </c>
      <c r="K92" s="321">
        <v>53.142679999999999</v>
      </c>
      <c r="L92" s="321">
        <v>51.625519199999999</v>
      </c>
      <c r="M92" s="321"/>
      <c r="O92" s="229"/>
    </row>
    <row r="93" spans="1:15" ht="15" customHeight="1">
      <c r="A93" s="531" t="s">
        <v>708</v>
      </c>
      <c r="B93" s="365">
        <v>13</v>
      </c>
      <c r="C93" s="365">
        <v>13</v>
      </c>
      <c r="D93" s="365">
        <v>12.896000000000001</v>
      </c>
      <c r="E93" s="365">
        <v>13.733000000000001</v>
      </c>
      <c r="F93" s="366">
        <v>14.955</v>
      </c>
      <c r="G93" s="366">
        <v>15.254099999999999</v>
      </c>
      <c r="H93" s="366">
        <v>15.887449899999998</v>
      </c>
      <c r="I93" s="366">
        <v>15.956073</v>
      </c>
      <c r="J93" s="367">
        <v>16.630959141754509</v>
      </c>
      <c r="K93" s="367">
        <v>16.049679599999997</v>
      </c>
      <c r="L93" s="367">
        <v>17.398215</v>
      </c>
      <c r="M93" s="367"/>
      <c r="O93" s="229"/>
    </row>
    <row r="94" spans="1:15" ht="15" customHeight="1">
      <c r="A94" s="519" t="s">
        <v>26</v>
      </c>
      <c r="B94" s="110"/>
      <c r="C94" s="110"/>
      <c r="D94" s="110"/>
      <c r="E94" s="110"/>
      <c r="F94" s="169"/>
      <c r="G94" s="169"/>
      <c r="H94" s="169"/>
      <c r="I94" s="169"/>
      <c r="J94" s="321"/>
      <c r="K94" s="321"/>
      <c r="L94" s="321"/>
      <c r="M94" s="321"/>
      <c r="O94" s="229"/>
    </row>
    <row r="95" spans="1:15" s="1" customFormat="1" ht="15" customHeight="1">
      <c r="A95" s="529" t="s">
        <v>373</v>
      </c>
      <c r="B95" s="110">
        <v>35211</v>
      </c>
      <c r="C95" s="110">
        <v>36572</v>
      </c>
      <c r="D95" s="110">
        <v>36376.773999999998</v>
      </c>
      <c r="E95" s="110">
        <v>36502.735000000001</v>
      </c>
      <c r="F95" s="169">
        <v>36552.766000000003</v>
      </c>
      <c r="G95" s="169">
        <v>31590.761999999999</v>
      </c>
      <c r="H95" s="169">
        <v>33244.105000000003</v>
      </c>
      <c r="I95" s="169">
        <v>34563.430999999997</v>
      </c>
      <c r="J95" s="321">
        <v>36730.169000000002</v>
      </c>
      <c r="K95" s="321">
        <v>37914.050999999999</v>
      </c>
      <c r="L95" s="321">
        <v>38232.964</v>
      </c>
      <c r="M95" s="321"/>
      <c r="O95" s="229"/>
    </row>
    <row r="96" spans="1:15" s="1" customFormat="1" ht="15" customHeight="1">
      <c r="A96" s="529" t="s">
        <v>708</v>
      </c>
      <c r="B96" s="110">
        <v>34848</v>
      </c>
      <c r="C96" s="110">
        <v>36207</v>
      </c>
      <c r="D96" s="110">
        <v>36002</v>
      </c>
      <c r="E96" s="110">
        <v>36133.79</v>
      </c>
      <c r="F96" s="169">
        <v>36163.845000000001</v>
      </c>
      <c r="G96" s="169">
        <v>31195.645</v>
      </c>
      <c r="H96" s="169">
        <v>32834.252</v>
      </c>
      <c r="I96" s="169">
        <v>34156.129000000001</v>
      </c>
      <c r="J96" s="321">
        <v>36320.375999999997</v>
      </c>
      <c r="K96" s="321">
        <v>37502.095999999998</v>
      </c>
      <c r="L96" s="321">
        <v>37808.311000000002</v>
      </c>
      <c r="M96" s="321"/>
      <c r="O96" s="229"/>
    </row>
    <row r="97" spans="1:15" s="1" customFormat="1" ht="15" customHeight="1">
      <c r="A97" s="529" t="s">
        <v>374</v>
      </c>
      <c r="B97" s="110">
        <v>268.09391893709198</v>
      </c>
      <c r="C97" s="110">
        <v>275.13983985145597</v>
      </c>
      <c r="D97" s="110">
        <v>255.61341157216299</v>
      </c>
      <c r="E97" s="110">
        <v>256.24695264173602</v>
      </c>
      <c r="F97" s="169">
        <v>269.05440888020502</v>
      </c>
      <c r="G97" s="169">
        <v>273.74200892911699</v>
      </c>
      <c r="H97" s="169">
        <v>302.46462170404101</v>
      </c>
      <c r="I97" s="169">
        <v>298.21129131287</v>
      </c>
      <c r="J97" s="321">
        <v>302.150761856987</v>
      </c>
      <c r="K97" s="321">
        <v>289.95376157284102</v>
      </c>
      <c r="L97" s="321">
        <v>279.30429060787401</v>
      </c>
      <c r="M97" s="321"/>
      <c r="O97" s="229"/>
    </row>
    <row r="98" spans="1:15" s="1" customFormat="1" ht="15" customHeight="1">
      <c r="A98" s="529" t="s">
        <v>375</v>
      </c>
      <c r="B98" s="110">
        <v>11.368288999999999</v>
      </c>
      <c r="C98" s="110">
        <v>11.916302999999999</v>
      </c>
      <c r="D98" s="110">
        <v>11.108919999999999</v>
      </c>
      <c r="E98" s="110">
        <v>12.372617999999999</v>
      </c>
      <c r="F98" s="169">
        <v>14.209110000000001</v>
      </c>
      <c r="G98" s="169">
        <v>16.551402000000003</v>
      </c>
      <c r="H98" s="169">
        <v>17.137751000000002</v>
      </c>
      <c r="I98" s="169">
        <v>17.228282999999998</v>
      </c>
      <c r="J98" s="321">
        <v>17.00717146819672</v>
      </c>
      <c r="K98" s="321">
        <v>16.705039379999999</v>
      </c>
      <c r="L98" s="321">
        <v>16.400325299999999</v>
      </c>
      <c r="M98" s="321"/>
      <c r="O98" s="229"/>
    </row>
    <row r="99" spans="1:15" s="1" customFormat="1" ht="15" customHeight="1">
      <c r="A99" s="529" t="s">
        <v>709</v>
      </c>
      <c r="B99" s="110">
        <v>34.780450000000002</v>
      </c>
      <c r="C99" s="110">
        <v>43.088577000000001</v>
      </c>
      <c r="D99" s="110">
        <v>41.639790000000005</v>
      </c>
      <c r="E99" s="110">
        <v>41.969306000000003</v>
      </c>
      <c r="F99" s="169">
        <v>48.924045</v>
      </c>
      <c r="G99" s="169">
        <v>44.996100000000006</v>
      </c>
      <c r="H99" s="169">
        <v>46.564920999999998</v>
      </c>
      <c r="I99" s="169">
        <v>51.132008999999996</v>
      </c>
      <c r="J99" s="321">
        <v>44.335297097704917</v>
      </c>
      <c r="K99" s="321">
        <v>46.787849909999998</v>
      </c>
      <c r="L99" s="321">
        <v>46.891771200000008</v>
      </c>
      <c r="M99" s="321"/>
      <c r="O99" s="229"/>
    </row>
    <row r="100" spans="1:15" s="1" customFormat="1" ht="15" customHeight="1">
      <c r="A100" s="531" t="s">
        <v>708</v>
      </c>
      <c r="B100" s="365">
        <v>11.101471999999999</v>
      </c>
      <c r="C100" s="365">
        <v>11.604495000000002</v>
      </c>
      <c r="D100" s="365">
        <v>10.787345999999999</v>
      </c>
      <c r="E100" s="365">
        <v>12.068644000000001</v>
      </c>
      <c r="F100" s="366">
        <v>13.844205000000001</v>
      </c>
      <c r="G100" s="366">
        <v>16.197834</v>
      </c>
      <c r="H100" s="366">
        <v>16.767814000000001</v>
      </c>
      <c r="I100" s="366">
        <v>16.819343999999997</v>
      </c>
      <c r="J100" s="367">
        <v>16.689622319999998</v>
      </c>
      <c r="K100" s="367">
        <v>16.369572359999999</v>
      </c>
      <c r="L100" s="367">
        <v>16.06268085</v>
      </c>
      <c r="M100" s="367"/>
      <c r="O100" s="229"/>
    </row>
    <row r="101" spans="1:15" s="1" customFormat="1" ht="15" customHeight="1">
      <c r="A101" s="519" t="s">
        <v>45</v>
      </c>
      <c r="B101" s="110"/>
      <c r="C101" s="110"/>
      <c r="D101" s="110"/>
      <c r="E101" s="110"/>
      <c r="F101" s="169"/>
      <c r="G101" s="169"/>
      <c r="H101" s="169"/>
      <c r="I101" s="169"/>
      <c r="J101" s="321"/>
      <c r="K101" s="321"/>
      <c r="L101" s="321"/>
      <c r="M101" s="321"/>
      <c r="O101" s="229"/>
    </row>
    <row r="102" spans="1:15" s="1" customFormat="1" ht="15" customHeight="1">
      <c r="A102" s="529" t="s">
        <v>373</v>
      </c>
      <c r="B102" s="110">
        <v>30543</v>
      </c>
      <c r="C102" s="110">
        <v>32556</v>
      </c>
      <c r="D102" s="110">
        <v>34362.701999999997</v>
      </c>
      <c r="E102" s="110">
        <v>36665.209000000003</v>
      </c>
      <c r="F102" s="169">
        <v>38504.678999999996</v>
      </c>
      <c r="G102" s="169">
        <v>39848.936999999998</v>
      </c>
      <c r="H102" s="169">
        <v>40854.519999999997</v>
      </c>
      <c r="I102" s="169">
        <v>42618.576999999997</v>
      </c>
      <c r="J102" s="321">
        <v>44144.15</v>
      </c>
      <c r="K102" s="321">
        <v>44907.495999999999</v>
      </c>
      <c r="L102" s="321">
        <v>44721.572</v>
      </c>
      <c r="M102" s="321"/>
      <c r="O102" s="229"/>
    </row>
    <row r="103" spans="1:15" s="1" customFormat="1" ht="15" customHeight="1">
      <c r="A103" s="529" t="s">
        <v>708</v>
      </c>
      <c r="B103" s="110">
        <v>30543</v>
      </c>
      <c r="C103" s="110">
        <v>32556</v>
      </c>
      <c r="D103" s="110">
        <v>34362.701999999997</v>
      </c>
      <c r="E103" s="110">
        <v>36665.209000000003</v>
      </c>
      <c r="F103" s="169">
        <v>38504.678999999996</v>
      </c>
      <c r="G103" s="169">
        <v>39848.936999999998</v>
      </c>
      <c r="H103" s="169">
        <v>40854.519999999997</v>
      </c>
      <c r="I103" s="169">
        <v>42618.576999999997</v>
      </c>
      <c r="J103" s="321">
        <v>44144.15</v>
      </c>
      <c r="K103" s="321">
        <v>44907.495999999999</v>
      </c>
      <c r="L103" s="321">
        <v>44721.572</v>
      </c>
      <c r="M103" s="321"/>
      <c r="O103" s="229"/>
    </row>
    <row r="104" spans="1:15" s="1" customFormat="1" ht="15" customHeight="1">
      <c r="A104" s="529" t="s">
        <v>374</v>
      </c>
      <c r="B104" s="110">
        <v>463</v>
      </c>
      <c r="C104" s="110">
        <v>449</v>
      </c>
      <c r="D104" s="110">
        <v>425.32856616763303</v>
      </c>
      <c r="E104" s="110">
        <v>415.89098641974101</v>
      </c>
      <c r="F104" s="169">
        <v>419.74338369176701</v>
      </c>
      <c r="G104" s="169">
        <v>414.42805016001398</v>
      </c>
      <c r="H104" s="169">
        <v>397.708871772539</v>
      </c>
      <c r="I104" s="169">
        <v>382.59533160124101</v>
      </c>
      <c r="J104" s="321">
        <v>400.31161101386499</v>
      </c>
      <c r="K104" s="321">
        <v>405.237283865194</v>
      </c>
      <c r="L104" s="321">
        <v>394.74988587869802</v>
      </c>
      <c r="M104" s="321"/>
      <c r="O104" s="229"/>
    </row>
    <row r="105" spans="1:15" s="1" customFormat="1" ht="15" customHeight="1">
      <c r="A105" s="531" t="s">
        <v>375</v>
      </c>
      <c r="B105" s="365">
        <v>10</v>
      </c>
      <c r="C105" s="365">
        <v>11</v>
      </c>
      <c r="D105" s="365">
        <v>10.71209</v>
      </c>
      <c r="E105" s="365">
        <v>11.23512</v>
      </c>
      <c r="F105" s="366">
        <v>12.24554</v>
      </c>
      <c r="G105" s="366">
        <v>11.596780000000001</v>
      </c>
      <c r="H105" s="366">
        <v>11.57124</v>
      </c>
      <c r="I105" s="366">
        <v>11.378399999999999</v>
      </c>
      <c r="J105" s="367">
        <v>11.561804754098361</v>
      </c>
      <c r="K105" s="367">
        <v>11.52556</v>
      </c>
      <c r="L105" s="367">
        <v>11.37345</v>
      </c>
      <c r="M105" s="367"/>
      <c r="O105" s="229"/>
    </row>
    <row r="106" spans="1:15" s="1" customFormat="1" ht="15" customHeight="1">
      <c r="A106" s="519" t="s">
        <v>613</v>
      </c>
      <c r="B106" s="110"/>
      <c r="C106" s="110"/>
      <c r="D106" s="110"/>
      <c r="E106" s="110"/>
      <c r="F106" s="169"/>
      <c r="G106" s="169"/>
      <c r="H106" s="169"/>
      <c r="I106" s="169"/>
      <c r="J106" s="321"/>
      <c r="K106" s="321"/>
      <c r="L106" s="321"/>
      <c r="M106" s="321"/>
      <c r="O106" s="229"/>
    </row>
    <row r="107" spans="1:15" s="1" customFormat="1" ht="15" customHeight="1">
      <c r="A107" s="529" t="s">
        <v>373</v>
      </c>
      <c r="B107" s="110">
        <v>0</v>
      </c>
      <c r="C107" s="110">
        <v>0</v>
      </c>
      <c r="D107" s="110">
        <v>281.48</v>
      </c>
      <c r="E107" s="110">
        <v>3406.18</v>
      </c>
      <c r="F107" s="169">
        <v>6390.8850000000002</v>
      </c>
      <c r="G107" s="169">
        <v>9513.3330000000005</v>
      </c>
      <c r="H107" s="169">
        <v>11792.888000000001</v>
      </c>
      <c r="I107" s="169">
        <v>13683.412</v>
      </c>
      <c r="J107" s="321">
        <v>15469.316999999999</v>
      </c>
      <c r="K107" s="321">
        <v>16889.28</v>
      </c>
      <c r="L107" s="321">
        <v>17816</v>
      </c>
      <c r="M107" s="321"/>
      <c r="O107" s="229"/>
    </row>
    <row r="108" spans="1:15" s="1" customFormat="1" ht="15" customHeight="1">
      <c r="A108" s="529" t="s">
        <v>708</v>
      </c>
      <c r="B108" s="110">
        <v>0</v>
      </c>
      <c r="C108" s="110">
        <v>0</v>
      </c>
      <c r="D108" s="110">
        <v>281.48</v>
      </c>
      <c r="E108" s="110">
        <v>3406.18</v>
      </c>
      <c r="F108" s="169">
        <v>6390.6629999999996</v>
      </c>
      <c r="G108" s="169">
        <v>9512.0339999999997</v>
      </c>
      <c r="H108" s="169">
        <v>11790.556</v>
      </c>
      <c r="I108" s="169">
        <v>13680.835999999999</v>
      </c>
      <c r="J108" s="321">
        <v>15466.578</v>
      </c>
      <c r="K108" s="321">
        <v>16887</v>
      </c>
      <c r="L108" s="321">
        <v>17809</v>
      </c>
      <c r="M108" s="321"/>
      <c r="O108" s="229"/>
    </row>
    <row r="109" spans="1:15" s="1" customFormat="1" ht="15" customHeight="1">
      <c r="A109" s="529" t="s">
        <v>374</v>
      </c>
      <c r="B109" s="110">
        <v>0</v>
      </c>
      <c r="C109" s="110">
        <v>0</v>
      </c>
      <c r="D109" s="110">
        <v>0</v>
      </c>
      <c r="E109" s="110">
        <v>205.98250049543901</v>
      </c>
      <c r="F109" s="169">
        <v>216.611131370582</v>
      </c>
      <c r="G109" s="169">
        <v>188.60703877812799</v>
      </c>
      <c r="H109" s="169">
        <v>163.11109010012001</v>
      </c>
      <c r="I109" s="169">
        <v>157.33965267577099</v>
      </c>
      <c r="J109" s="321">
        <v>231.558639602661</v>
      </c>
      <c r="K109" s="321">
        <v>143.03816306149</v>
      </c>
      <c r="L109" s="321">
        <v>133.02304463090601</v>
      </c>
      <c r="M109" s="321"/>
      <c r="O109" s="229"/>
    </row>
    <row r="110" spans="1:15" s="1" customFormat="1" ht="15" customHeight="1">
      <c r="A110" s="531" t="s">
        <v>375</v>
      </c>
      <c r="B110" s="365">
        <v>0</v>
      </c>
      <c r="C110" s="365">
        <v>0</v>
      </c>
      <c r="D110" s="365">
        <v>0</v>
      </c>
      <c r="E110" s="365">
        <v>42.231603999999997</v>
      </c>
      <c r="F110" s="366">
        <v>51.851549999999996</v>
      </c>
      <c r="G110" s="366">
        <v>45.961566000000005</v>
      </c>
      <c r="H110" s="366">
        <v>43.777206</v>
      </c>
      <c r="I110" s="366">
        <v>39.578747999999997</v>
      </c>
      <c r="J110" s="367">
        <v>39.025799676888475</v>
      </c>
      <c r="K110" s="367">
        <v>36.148133999999999</v>
      </c>
      <c r="L110" s="367">
        <v>32.850900000000003</v>
      </c>
      <c r="M110" s="367"/>
      <c r="O110" s="229"/>
    </row>
    <row r="111" spans="1:15" ht="15" customHeight="1">
      <c r="A111" s="519" t="s">
        <v>380</v>
      </c>
      <c r="B111" s="110"/>
      <c r="C111" s="110"/>
      <c r="D111" s="110"/>
      <c r="E111" s="110"/>
      <c r="F111" s="169"/>
      <c r="G111" s="169"/>
      <c r="H111" s="169"/>
      <c r="I111" s="169"/>
      <c r="J111" s="321"/>
      <c r="K111" s="321"/>
      <c r="L111" s="321"/>
      <c r="M111" s="321"/>
      <c r="O111" s="229"/>
    </row>
    <row r="112" spans="1:15" ht="15" customHeight="1">
      <c r="A112" s="529" t="s">
        <v>704</v>
      </c>
      <c r="B112" s="110"/>
      <c r="C112" s="110"/>
      <c r="D112" s="110"/>
      <c r="E112" s="110"/>
      <c r="F112" s="169"/>
      <c r="G112" s="169"/>
      <c r="H112" s="169"/>
      <c r="I112" s="169"/>
      <c r="J112" s="321"/>
      <c r="K112" s="321"/>
      <c r="L112" s="321"/>
      <c r="M112" s="321"/>
      <c r="O112" s="229"/>
    </row>
    <row r="113" spans="1:15" ht="15" customHeight="1">
      <c r="A113" s="532" t="s">
        <v>710</v>
      </c>
      <c r="B113" s="112">
        <v>920</v>
      </c>
      <c r="C113" s="112">
        <v>915</v>
      </c>
      <c r="D113" s="112">
        <v>913.72400000000005</v>
      </c>
      <c r="E113" s="112">
        <v>912.39099999999996</v>
      </c>
      <c r="F113" s="170">
        <v>905.178</v>
      </c>
      <c r="G113" s="170">
        <v>901.69500000000005</v>
      </c>
      <c r="H113" s="170">
        <v>900.10199999999998</v>
      </c>
      <c r="I113" s="170">
        <v>897.3</v>
      </c>
      <c r="J113" s="335">
        <v>877.60299999999995</v>
      </c>
      <c r="K113" s="335">
        <v>870.36699999999996</v>
      </c>
      <c r="L113" s="335">
        <v>864.83299999999997</v>
      </c>
      <c r="M113" s="335"/>
      <c r="O113" s="229"/>
    </row>
    <row r="114" spans="1:15" ht="15" customHeight="1">
      <c r="A114" s="519" t="s">
        <v>33</v>
      </c>
      <c r="B114" s="110"/>
      <c r="C114" s="110"/>
      <c r="D114" s="110"/>
      <c r="E114" s="110"/>
      <c r="F114" s="169"/>
      <c r="G114" s="169"/>
      <c r="H114" s="169"/>
      <c r="I114" s="169"/>
      <c r="J114" s="321"/>
      <c r="K114" s="321"/>
      <c r="L114" s="321"/>
      <c r="M114" s="321"/>
      <c r="O114" s="229"/>
    </row>
    <row r="115" spans="1:15" ht="15" customHeight="1">
      <c r="A115" s="533" t="s">
        <v>574</v>
      </c>
      <c r="B115" s="117">
        <v>171603.76299999998</v>
      </c>
      <c r="C115" s="117">
        <v>175406.86300000001</v>
      </c>
      <c r="D115" s="117">
        <v>178806.905</v>
      </c>
      <c r="E115" s="117">
        <v>185724.03</v>
      </c>
      <c r="F115" s="172">
        <v>191610.45300000001</v>
      </c>
      <c r="G115" s="172">
        <v>190814.87</v>
      </c>
      <c r="H115" s="172">
        <v>195968.685</v>
      </c>
      <c r="I115" s="172">
        <v>202606.30999999997</v>
      </c>
      <c r="J115" s="348">
        <v>207976.22899999999</v>
      </c>
      <c r="K115" s="348">
        <v>211423.88099999999</v>
      </c>
      <c r="L115" s="348">
        <v>210519.35700000002</v>
      </c>
      <c r="M115" s="348"/>
      <c r="O115" s="229"/>
    </row>
    <row r="116" spans="1:15" ht="15" customHeight="1">
      <c r="A116" s="529" t="s">
        <v>705</v>
      </c>
      <c r="B116" s="110">
        <v>33251.167999999998</v>
      </c>
      <c r="C116" s="110">
        <v>32944.766000000003</v>
      </c>
      <c r="D116" s="110">
        <v>33398.858</v>
      </c>
      <c r="E116" s="110">
        <v>33788.057000000001</v>
      </c>
      <c r="F116" s="169">
        <v>34144.239999999998</v>
      </c>
      <c r="G116" s="169">
        <v>34290.769999999997</v>
      </c>
      <c r="H116" s="169">
        <v>34456.239999999998</v>
      </c>
      <c r="I116" s="169">
        <v>36134.800000000003</v>
      </c>
      <c r="J116" s="333">
        <v>36533.800000000003</v>
      </c>
      <c r="K116" s="333">
        <v>36594.93</v>
      </c>
      <c r="L116" s="333">
        <v>35843.99</v>
      </c>
      <c r="M116" s="321"/>
      <c r="O116" s="229"/>
    </row>
    <row r="117" spans="1:15" ht="15" customHeight="1">
      <c r="A117" s="532" t="s">
        <v>711</v>
      </c>
      <c r="B117" s="112">
        <v>27052.31</v>
      </c>
      <c r="C117" s="112">
        <v>27077.986000000001</v>
      </c>
      <c r="D117" s="112">
        <v>27579.297999999999</v>
      </c>
      <c r="E117" s="112">
        <v>27986.077000000001</v>
      </c>
      <c r="F117" s="170">
        <v>28331.79</v>
      </c>
      <c r="G117" s="170">
        <v>28541.5</v>
      </c>
      <c r="H117" s="170">
        <v>25401.75</v>
      </c>
      <c r="I117" s="170">
        <v>30451.75</v>
      </c>
      <c r="J117" s="335">
        <v>30828.5</v>
      </c>
      <c r="K117" s="335">
        <v>30946.5</v>
      </c>
      <c r="L117" s="335">
        <v>30153.67</v>
      </c>
      <c r="M117" s="335"/>
      <c r="O117" s="229"/>
    </row>
    <row r="118" spans="1:15" ht="15" customHeight="1">
      <c r="A118" s="529"/>
      <c r="B118" s="110"/>
      <c r="C118" s="110"/>
      <c r="D118" s="110"/>
      <c r="E118" s="110"/>
      <c r="F118" s="169"/>
      <c r="G118" s="169"/>
      <c r="H118" s="169"/>
      <c r="I118" s="169"/>
      <c r="J118" s="321"/>
      <c r="K118" s="321"/>
      <c r="L118" s="321"/>
      <c r="M118" s="321"/>
      <c r="O118" s="229"/>
    </row>
    <row r="119" spans="1:15" ht="15" customHeight="1">
      <c r="A119" s="529" t="s">
        <v>712</v>
      </c>
      <c r="B119" s="110"/>
      <c r="C119" s="110"/>
      <c r="D119" s="110"/>
      <c r="E119" s="110"/>
      <c r="F119" s="169"/>
      <c r="G119" s="169"/>
      <c r="H119" s="169"/>
      <c r="I119" s="169"/>
      <c r="J119" s="321"/>
      <c r="K119" s="321"/>
      <c r="L119" s="321"/>
      <c r="M119" s="321"/>
      <c r="O119" s="229"/>
    </row>
    <row r="120" spans="1:15" ht="15" customHeight="1">
      <c r="A120" s="529" t="s">
        <v>47</v>
      </c>
      <c r="B120" s="110">
        <v>4387.8437999999996</v>
      </c>
      <c r="C120" s="110">
        <v>4283.05</v>
      </c>
      <c r="D120" s="110">
        <v>4222.93</v>
      </c>
      <c r="E120" s="110">
        <v>4251.18</v>
      </c>
      <c r="F120" s="169">
        <v>4237.72</v>
      </c>
      <c r="G120" s="169">
        <v>4225.2700000000004</v>
      </c>
      <c r="H120" s="169">
        <v>4135.62</v>
      </c>
      <c r="I120" s="169">
        <v>4179.25</v>
      </c>
      <c r="J120" s="321">
        <v>4101.8999999999996</v>
      </c>
      <c r="K120" s="321">
        <v>4105.13</v>
      </c>
      <c r="L120" s="321">
        <v>4068.22</v>
      </c>
      <c r="M120" s="321"/>
      <c r="O120" s="229"/>
    </row>
    <row r="121" spans="1:15" ht="15" customHeight="1">
      <c r="A121" s="529" t="s">
        <v>23</v>
      </c>
      <c r="B121" s="110">
        <v>1797</v>
      </c>
      <c r="C121" s="110">
        <v>1803</v>
      </c>
      <c r="D121" s="110">
        <v>1722</v>
      </c>
      <c r="E121" s="110">
        <v>1725</v>
      </c>
      <c r="F121" s="169">
        <v>1683</v>
      </c>
      <c r="G121" s="169">
        <v>1660</v>
      </c>
      <c r="H121" s="169">
        <v>1711</v>
      </c>
      <c r="I121" s="169">
        <v>1718</v>
      </c>
      <c r="J121" s="321">
        <v>1725</v>
      </c>
      <c r="K121" s="321">
        <v>1713</v>
      </c>
      <c r="L121" s="321">
        <v>1727</v>
      </c>
      <c r="M121" s="321"/>
      <c r="O121" s="229"/>
    </row>
    <row r="122" spans="1:15" ht="15" customHeight="1">
      <c r="A122" s="529" t="s">
        <v>13</v>
      </c>
      <c r="B122" s="110">
        <v>1686.5</v>
      </c>
      <c r="C122" s="110">
        <v>1687.5</v>
      </c>
      <c r="D122" s="110">
        <v>1668.5</v>
      </c>
      <c r="E122" s="110">
        <v>1689.5</v>
      </c>
      <c r="F122" s="169">
        <v>1718.5</v>
      </c>
      <c r="G122" s="169">
        <v>1825.5</v>
      </c>
      <c r="H122" s="169">
        <v>1855.5</v>
      </c>
      <c r="I122" s="169">
        <v>1921.5</v>
      </c>
      <c r="J122" s="321">
        <v>1933</v>
      </c>
      <c r="K122" s="321">
        <v>1868</v>
      </c>
      <c r="L122" s="321">
        <v>1670</v>
      </c>
      <c r="M122" s="321"/>
      <c r="O122" s="229"/>
    </row>
    <row r="123" spans="1:15" ht="15" customHeight="1">
      <c r="A123" s="529" t="s">
        <v>17</v>
      </c>
      <c r="B123" s="110">
        <v>1002</v>
      </c>
      <c r="C123" s="110">
        <v>1008</v>
      </c>
      <c r="D123" s="110">
        <v>998</v>
      </c>
      <c r="E123" s="110">
        <v>1016</v>
      </c>
      <c r="F123" s="169">
        <v>1039</v>
      </c>
      <c r="G123" s="169">
        <v>999</v>
      </c>
      <c r="H123" s="169">
        <v>1042</v>
      </c>
      <c r="I123" s="169">
        <v>1140</v>
      </c>
      <c r="J123" s="321">
        <v>1165</v>
      </c>
      <c r="K123" s="321">
        <v>1148</v>
      </c>
      <c r="L123" s="321">
        <v>1151</v>
      </c>
      <c r="M123" s="321"/>
      <c r="O123" s="229"/>
    </row>
    <row r="124" spans="1:15" ht="15" customHeight="1">
      <c r="A124" s="529" t="s">
        <v>609</v>
      </c>
      <c r="B124" s="110">
        <v>1924.21</v>
      </c>
      <c r="C124" s="110">
        <v>1960.9860000000001</v>
      </c>
      <c r="D124" s="110">
        <v>2012.6980000000001</v>
      </c>
      <c r="E124" s="110">
        <v>2053.5770000000002</v>
      </c>
      <c r="F124" s="169">
        <v>2115.67</v>
      </c>
      <c r="G124" s="169">
        <v>2087</v>
      </c>
      <c r="H124" s="169">
        <v>2068</v>
      </c>
      <c r="I124" s="169">
        <v>2111</v>
      </c>
      <c r="J124" s="321">
        <v>2069</v>
      </c>
      <c r="K124" s="321">
        <v>1856</v>
      </c>
      <c r="L124" s="321">
        <v>1800</v>
      </c>
      <c r="M124" s="321"/>
      <c r="O124" s="229"/>
    </row>
    <row r="125" spans="1:15" ht="15" customHeight="1">
      <c r="A125" s="529" t="s">
        <v>620</v>
      </c>
      <c r="B125" s="110">
        <v>1166</v>
      </c>
      <c r="C125" s="110">
        <v>1207</v>
      </c>
      <c r="D125" s="110">
        <v>1256</v>
      </c>
      <c r="E125" s="110">
        <v>1249</v>
      </c>
      <c r="F125" s="169">
        <v>1248</v>
      </c>
      <c r="G125" s="169">
        <v>1240</v>
      </c>
      <c r="H125" s="169">
        <v>1224</v>
      </c>
      <c r="I125" s="169">
        <v>1220</v>
      </c>
      <c r="J125" s="321">
        <v>1226</v>
      </c>
      <c r="K125" s="321">
        <v>1242</v>
      </c>
      <c r="L125" s="321">
        <v>1231</v>
      </c>
      <c r="M125" s="321"/>
      <c r="O125" s="229"/>
    </row>
    <row r="126" spans="1:15" ht="15" customHeight="1">
      <c r="A126" s="529" t="s">
        <v>637</v>
      </c>
      <c r="B126" s="110">
        <v>4522</v>
      </c>
      <c r="C126" s="110">
        <v>4485</v>
      </c>
      <c r="D126" s="110">
        <v>4531</v>
      </c>
      <c r="E126" s="110">
        <v>4636</v>
      </c>
      <c r="F126" s="169">
        <v>4752</v>
      </c>
      <c r="G126" s="169">
        <v>4738</v>
      </c>
      <c r="H126" s="169">
        <v>4812</v>
      </c>
      <c r="I126" s="169">
        <v>4676</v>
      </c>
      <c r="J126" s="321">
        <v>4770</v>
      </c>
      <c r="K126" s="321">
        <v>4545</v>
      </c>
      <c r="L126" s="321">
        <v>4384</v>
      </c>
      <c r="M126" s="321"/>
      <c r="O126" s="229"/>
    </row>
    <row r="127" spans="1:15" ht="15" customHeight="1">
      <c r="A127" s="529" t="s">
        <v>646</v>
      </c>
      <c r="B127" s="110">
        <v>2205</v>
      </c>
      <c r="C127" s="110">
        <v>2176</v>
      </c>
      <c r="D127" s="110">
        <v>2151</v>
      </c>
      <c r="E127" s="110">
        <v>2128</v>
      </c>
      <c r="F127" s="169">
        <v>2106</v>
      </c>
      <c r="G127" s="169">
        <v>2107</v>
      </c>
      <c r="H127" s="169">
        <v>2094</v>
      </c>
      <c r="I127" s="169">
        <v>2073</v>
      </c>
      <c r="J127" s="321">
        <v>2089</v>
      </c>
      <c r="K127" s="321">
        <v>2058</v>
      </c>
      <c r="L127" s="321">
        <v>2033</v>
      </c>
      <c r="M127" s="321"/>
      <c r="O127" s="229"/>
    </row>
    <row r="128" spans="1:15" ht="15" customHeight="1">
      <c r="A128" s="529" t="s">
        <v>494</v>
      </c>
      <c r="B128" s="110">
        <v>3899</v>
      </c>
      <c r="C128" s="110">
        <v>3975</v>
      </c>
      <c r="D128" s="110">
        <v>4117</v>
      </c>
      <c r="E128" s="110">
        <v>4152</v>
      </c>
      <c r="F128" s="169">
        <v>4260</v>
      </c>
      <c r="G128" s="169">
        <v>4234</v>
      </c>
      <c r="H128" s="169">
        <v>4233</v>
      </c>
      <c r="I128" s="169">
        <v>4728</v>
      </c>
      <c r="J128" s="321">
        <v>4653</v>
      </c>
      <c r="K128" s="321">
        <v>4251</v>
      </c>
      <c r="L128" s="321">
        <v>3637.67</v>
      </c>
      <c r="M128" s="321"/>
      <c r="O128" s="229"/>
    </row>
    <row r="129" spans="1:15" ht="15" customHeight="1">
      <c r="A129" s="529" t="s">
        <v>26</v>
      </c>
      <c r="B129" s="110">
        <v>3812</v>
      </c>
      <c r="C129" s="110">
        <v>3982</v>
      </c>
      <c r="D129" s="110">
        <v>4293</v>
      </c>
      <c r="E129" s="110">
        <v>4474</v>
      </c>
      <c r="F129" s="169">
        <v>4508</v>
      </c>
      <c r="G129" s="169">
        <v>4516</v>
      </c>
      <c r="H129" s="169">
        <v>4504</v>
      </c>
      <c r="I129" s="169">
        <v>5108</v>
      </c>
      <c r="J129" s="321">
        <v>5042</v>
      </c>
      <c r="K129" s="321">
        <v>5652</v>
      </c>
      <c r="L129" s="321">
        <v>5945</v>
      </c>
      <c r="M129" s="321"/>
      <c r="O129" s="229"/>
    </row>
    <row r="130" spans="1:15" ht="15" customHeight="1">
      <c r="A130" s="529" t="s">
        <v>45</v>
      </c>
      <c r="B130" s="110">
        <v>3736</v>
      </c>
      <c r="C130" s="110">
        <v>3353</v>
      </c>
      <c r="D130" s="110">
        <v>3311</v>
      </c>
      <c r="E130" s="110">
        <v>3318</v>
      </c>
      <c r="F130" s="169">
        <v>3337</v>
      </c>
      <c r="G130" s="169">
        <v>3338</v>
      </c>
      <c r="H130" s="169">
        <v>3367</v>
      </c>
      <c r="I130" s="169">
        <v>3825</v>
      </c>
      <c r="J130" s="321">
        <v>4097</v>
      </c>
      <c r="K130" s="321">
        <v>4182</v>
      </c>
      <c r="L130" s="321">
        <v>4066</v>
      </c>
      <c r="M130" s="321"/>
      <c r="O130" s="229"/>
    </row>
    <row r="131" spans="1:15" ht="15" customHeight="1">
      <c r="A131" s="529" t="s">
        <v>613</v>
      </c>
      <c r="B131" s="110">
        <v>164</v>
      </c>
      <c r="C131" s="110">
        <v>288</v>
      </c>
      <c r="D131" s="110">
        <v>334</v>
      </c>
      <c r="E131" s="110">
        <v>367</v>
      </c>
      <c r="F131" s="169">
        <v>407</v>
      </c>
      <c r="G131" s="169">
        <v>437</v>
      </c>
      <c r="H131" s="169">
        <v>476</v>
      </c>
      <c r="I131" s="169">
        <v>500</v>
      </c>
      <c r="J131" s="321">
        <v>554</v>
      </c>
      <c r="K131" s="321">
        <v>609</v>
      </c>
      <c r="L131" s="321">
        <v>626</v>
      </c>
      <c r="M131" s="321"/>
      <c r="O131" s="229"/>
    </row>
    <row r="132" spans="1:15" ht="15" customHeight="1">
      <c r="A132" s="529" t="s">
        <v>380</v>
      </c>
      <c r="B132" s="110">
        <v>802.34140000000002</v>
      </c>
      <c r="C132" s="110">
        <v>604.6</v>
      </c>
      <c r="D132" s="110">
        <v>615</v>
      </c>
      <c r="E132" s="110">
        <v>613.6</v>
      </c>
      <c r="F132" s="169">
        <v>620.4</v>
      </c>
      <c r="G132" s="169">
        <v>607.6</v>
      </c>
      <c r="H132" s="169">
        <v>599.6</v>
      </c>
      <c r="I132" s="169">
        <v>599.6</v>
      </c>
      <c r="J132" s="321">
        <v>604.6</v>
      </c>
      <c r="K132" s="321">
        <v>604.6</v>
      </c>
      <c r="L132" s="321">
        <v>606.6</v>
      </c>
      <c r="M132" s="321"/>
      <c r="O132" s="229"/>
    </row>
    <row r="133" spans="1:15" ht="15" customHeight="1">
      <c r="A133" s="532" t="s">
        <v>137</v>
      </c>
      <c r="B133" s="112">
        <v>2147.2728000000002</v>
      </c>
      <c r="C133" s="112">
        <v>2131.63</v>
      </c>
      <c r="D133" s="112">
        <v>2166.73</v>
      </c>
      <c r="E133" s="112">
        <v>2115.1999999999998</v>
      </c>
      <c r="F133" s="170">
        <v>2111.9499999999998</v>
      </c>
      <c r="G133" s="170">
        <v>2276.4</v>
      </c>
      <c r="H133" s="170">
        <v>2334.52</v>
      </c>
      <c r="I133" s="170">
        <v>2335.4499999999998</v>
      </c>
      <c r="J133" s="335">
        <v>2504.3000000000002</v>
      </c>
      <c r="K133" s="335">
        <v>2761.2</v>
      </c>
      <c r="L133" s="335">
        <v>2898.5</v>
      </c>
      <c r="M133" s="335"/>
      <c r="O133" s="229"/>
    </row>
    <row r="134" spans="1:15" ht="15" customHeight="1"/>
  </sheetData>
  <mergeCells count="3">
    <mergeCell ref="B4:E4"/>
    <mergeCell ref="F4:I4"/>
    <mergeCell ref="J4:M4"/>
  </mergeCells>
  <pageMargins left="0.78740157480314965" right="0.78740157480314965" top="0.73" bottom="0.69" header="0.51181102362204722" footer="0.51181102362204722"/>
  <pageSetup paperSize="8" scale="5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3AF"/>
    <pageSetUpPr fitToPage="1"/>
  </sheetPr>
  <dimension ref="A1:N32"/>
  <sheetViews>
    <sheetView showGridLines="0" view="pageBreakPreview" zoomScale="90" zoomScaleNormal="100" zoomScaleSheetLayoutView="90" workbookViewId="0">
      <pane xSplit="2" topLeftCell="C1" activePane="topRight" state="frozenSplit"/>
      <selection activeCell="R23" sqref="R23"/>
      <selection pane="topRight" activeCell="M7" sqref="M7"/>
    </sheetView>
  </sheetViews>
  <sheetFormatPr defaultColWidth="9.140625" defaultRowHeight="12.75" customHeight="1"/>
  <cols>
    <col min="1" max="1" width="22.7109375" style="535" customWidth="1"/>
    <col min="2" max="2" width="16.7109375" style="536" customWidth="1"/>
    <col min="3" max="14" width="13.7109375" style="535" customWidth="1"/>
    <col min="15" max="16384" width="9.140625" style="535"/>
  </cols>
  <sheetData>
    <row r="1" spans="1:14" ht="15" customHeight="1"/>
    <row r="2" spans="1:14" ht="15" customHeight="1"/>
    <row r="3" spans="1:14" ht="15" customHeight="1" thickBot="1">
      <c r="A3" s="537" t="s">
        <v>65</v>
      </c>
      <c r="B3" s="538"/>
      <c r="C3" s="539"/>
      <c r="D3" s="539"/>
      <c r="E3" s="539"/>
      <c r="F3" s="539"/>
      <c r="G3" s="539"/>
      <c r="H3" s="539"/>
      <c r="I3" s="539"/>
      <c r="J3" s="539"/>
      <c r="K3" s="539"/>
      <c r="L3" s="539"/>
      <c r="M3" s="539"/>
      <c r="N3" s="539"/>
    </row>
    <row r="4" spans="1:14" ht="15" customHeight="1" thickBot="1">
      <c r="A4" s="540" t="s">
        <v>526</v>
      </c>
      <c r="B4" s="541"/>
      <c r="C4" s="576">
        <v>2014</v>
      </c>
      <c r="D4" s="577"/>
      <c r="E4" s="577"/>
      <c r="F4" s="578"/>
      <c r="G4" s="579">
        <v>2015</v>
      </c>
      <c r="H4" s="580"/>
      <c r="I4" s="580"/>
      <c r="J4" s="581"/>
      <c r="K4" s="582">
        <v>2016</v>
      </c>
      <c r="L4" s="583"/>
      <c r="M4" s="583"/>
      <c r="N4" s="583"/>
    </row>
    <row r="5" spans="1:14" s="544" customFormat="1" ht="15" customHeight="1" thickBot="1">
      <c r="A5" s="542"/>
      <c r="B5" s="543"/>
      <c r="C5" s="290" t="s">
        <v>510</v>
      </c>
      <c r="D5" s="290" t="s">
        <v>511</v>
      </c>
      <c r="E5" s="290" t="s">
        <v>513</v>
      </c>
      <c r="F5" s="290" t="s">
        <v>514</v>
      </c>
      <c r="G5" s="311" t="s">
        <v>510</v>
      </c>
      <c r="H5" s="311" t="s">
        <v>511</v>
      </c>
      <c r="I5" s="311" t="s">
        <v>513</v>
      </c>
      <c r="J5" s="311" t="s">
        <v>514</v>
      </c>
      <c r="K5" s="237" t="s">
        <v>510</v>
      </c>
      <c r="L5" s="237" t="s">
        <v>511</v>
      </c>
      <c r="M5" s="237" t="s">
        <v>513</v>
      </c>
      <c r="N5" s="237" t="s">
        <v>514</v>
      </c>
    </row>
    <row r="6" spans="1:14" s="547" customFormat="1" ht="15" customHeight="1">
      <c r="A6" s="545" t="s">
        <v>573</v>
      </c>
      <c r="B6" s="546" t="s">
        <v>25</v>
      </c>
      <c r="C6" s="362">
        <v>8.3470999999999993</v>
      </c>
      <c r="D6" s="362">
        <v>8.2791999999999994</v>
      </c>
      <c r="E6" s="362">
        <v>8.2779000000000007</v>
      </c>
      <c r="F6" s="362">
        <v>8.3534000000000006</v>
      </c>
      <c r="G6" s="363">
        <v>8.7317999999999998</v>
      </c>
      <c r="H6" s="363">
        <v>8.6523000000000003</v>
      </c>
      <c r="I6" s="363">
        <v>8.8226999999999993</v>
      </c>
      <c r="J6" s="363">
        <v>8.9529999999999994</v>
      </c>
      <c r="K6" s="364">
        <v>9.5264000000000006</v>
      </c>
      <c r="L6" s="364">
        <v>9.4225999999999992</v>
      </c>
      <c r="M6" s="364">
        <v>9.3757999999999999</v>
      </c>
      <c r="N6" s="364"/>
    </row>
    <row r="7" spans="1:14" s="547" customFormat="1" ht="15" customHeight="1">
      <c r="A7" s="545" t="s">
        <v>13</v>
      </c>
      <c r="B7" s="548" t="s">
        <v>14</v>
      </c>
      <c r="C7" s="362">
        <v>1.1185</v>
      </c>
      <c r="D7" s="362">
        <v>1.1093999999999999</v>
      </c>
      <c r="E7" s="362">
        <v>1.1097999999999999</v>
      </c>
      <c r="F7" s="362">
        <v>1.1206</v>
      </c>
      <c r="G7" s="404">
        <v>1.1720999999999999</v>
      </c>
      <c r="H7" s="404">
        <v>1.1605000000000001</v>
      </c>
      <c r="I7" s="363">
        <v>1.1830000000000001</v>
      </c>
      <c r="J7" s="363">
        <v>1.2003999999999999</v>
      </c>
      <c r="K7" s="364">
        <v>1.2768999999999999</v>
      </c>
      <c r="L7" s="364">
        <v>1.2647999999999999</v>
      </c>
      <c r="M7" s="364">
        <v>1.2589999999999999</v>
      </c>
      <c r="N7" s="364"/>
    </row>
    <row r="8" spans="1:14" s="547" customFormat="1" ht="15" customHeight="1">
      <c r="A8" s="545" t="s">
        <v>23</v>
      </c>
      <c r="B8" s="548" t="s">
        <v>24</v>
      </c>
      <c r="C8" s="362">
        <v>0.9425</v>
      </c>
      <c r="D8" s="362">
        <v>0.92520000000000002</v>
      </c>
      <c r="E8" s="362">
        <v>0.91600000000000004</v>
      </c>
      <c r="F8" s="362">
        <v>0.91839999999999999</v>
      </c>
      <c r="G8" s="363">
        <v>0.93100000000000005</v>
      </c>
      <c r="H8" s="363">
        <v>0.9264</v>
      </c>
      <c r="I8" s="363">
        <v>0.94140000000000001</v>
      </c>
      <c r="J8" s="363">
        <v>0.95720000000000005</v>
      </c>
      <c r="K8" s="364">
        <v>1.0213000000000001</v>
      </c>
      <c r="L8" s="364">
        <v>1.0129999999999999</v>
      </c>
      <c r="M8" s="364">
        <v>1.0003</v>
      </c>
      <c r="N8" s="364"/>
    </row>
    <row r="9" spans="1:14" s="549" customFormat="1" ht="15" customHeight="1">
      <c r="A9" s="545" t="s">
        <v>15</v>
      </c>
      <c r="B9" s="548" t="s">
        <v>16</v>
      </c>
      <c r="C9" s="362">
        <v>7.85E-2</v>
      </c>
      <c r="D9" s="362">
        <v>7.7799999999999994E-2</v>
      </c>
      <c r="E9" s="362">
        <v>7.8799999999999995E-2</v>
      </c>
      <c r="F9" s="362">
        <v>8.1299999999999997E-2</v>
      </c>
      <c r="G9" s="363">
        <v>9.9699999999999997E-2</v>
      </c>
      <c r="H9" s="363">
        <v>9.9699999999999997E-2</v>
      </c>
      <c r="I9" s="363">
        <v>0.1018</v>
      </c>
      <c r="J9" s="363">
        <v>0.1036</v>
      </c>
      <c r="K9" s="364">
        <v>0.11020000000000001</v>
      </c>
      <c r="L9" s="364">
        <v>0.10780000000000001</v>
      </c>
      <c r="M9" s="364">
        <v>0.1072</v>
      </c>
      <c r="N9" s="364"/>
    </row>
    <row r="10" spans="1:14" s="550" customFormat="1" ht="15" customHeight="1">
      <c r="A10" s="545" t="s">
        <v>17</v>
      </c>
      <c r="B10" s="548" t="s">
        <v>18</v>
      </c>
      <c r="C10" s="362">
        <v>2.7099999999999999E-2</v>
      </c>
      <c r="D10" s="362">
        <v>2.7E-2</v>
      </c>
      <c r="E10" s="362">
        <v>2.6800000000000001E-2</v>
      </c>
      <c r="F10" s="362">
        <v>2.7099999999999999E-2</v>
      </c>
      <c r="G10" s="363">
        <v>2.8299999999999999E-2</v>
      </c>
      <c r="H10" s="363">
        <v>2.81E-2</v>
      </c>
      <c r="I10" s="363">
        <v>2.8500000000000001E-2</v>
      </c>
      <c r="J10" s="363">
        <v>2.8899999999999999E-2</v>
      </c>
      <c r="K10" s="364">
        <v>3.0499999999999999E-2</v>
      </c>
      <c r="L10" s="364">
        <v>3.0099999999999998E-2</v>
      </c>
      <c r="M10" s="364">
        <v>0.03</v>
      </c>
      <c r="N10" s="364"/>
    </row>
    <row r="11" spans="1:14" s="550" customFormat="1" ht="15" customHeight="1">
      <c r="A11" s="545" t="s">
        <v>26</v>
      </c>
      <c r="B11" s="548" t="s">
        <v>27</v>
      </c>
      <c r="C11" s="362">
        <v>5.8900000000000001E-2</v>
      </c>
      <c r="D11" s="362">
        <v>5.9900000000000002E-2</v>
      </c>
      <c r="E11" s="362">
        <v>6.0699999999999997E-2</v>
      </c>
      <c r="F11" s="362">
        <v>6.2399999999999997E-2</v>
      </c>
      <c r="G11" s="363">
        <v>7.6499999999999999E-2</v>
      </c>
      <c r="H11" s="363">
        <v>7.6399999999999996E-2</v>
      </c>
      <c r="I11" s="363">
        <v>7.7600000000000002E-2</v>
      </c>
      <c r="J11" s="363">
        <v>7.85E-2</v>
      </c>
      <c r="K11" s="364">
        <v>8.2600000000000007E-2</v>
      </c>
      <c r="L11" s="364">
        <v>8.0699999999999994E-2</v>
      </c>
      <c r="M11" s="364">
        <v>8.0299999999999996E-2</v>
      </c>
      <c r="N11" s="364"/>
    </row>
    <row r="12" spans="1:14" ht="15" customHeight="1">
      <c r="A12" s="545" t="s">
        <v>19</v>
      </c>
      <c r="B12" s="548" t="s">
        <v>20</v>
      </c>
      <c r="C12" s="362">
        <v>1.8474999999999999</v>
      </c>
      <c r="D12" s="362">
        <v>1.8487</v>
      </c>
      <c r="E12" s="362">
        <v>1.8862000000000001</v>
      </c>
      <c r="F12" s="362">
        <v>1.9253</v>
      </c>
      <c r="G12" s="363">
        <v>2.1419999999999999</v>
      </c>
      <c r="H12" s="363">
        <v>2.13</v>
      </c>
      <c r="I12" s="363">
        <v>2.0958999999999999</v>
      </c>
      <c r="J12" s="363">
        <v>2.0691000000000002</v>
      </c>
      <c r="K12" s="364">
        <v>2.0602</v>
      </c>
      <c r="L12" s="364">
        <v>2.0604</v>
      </c>
      <c r="M12" s="364">
        <v>2.0579999999999998</v>
      </c>
      <c r="N12" s="364"/>
    </row>
    <row r="13" spans="1:14" ht="15" customHeight="1">
      <c r="A13" s="545" t="s">
        <v>21</v>
      </c>
      <c r="B13" s="548" t="s">
        <v>22</v>
      </c>
      <c r="C13" s="362">
        <v>0.18659999999999999</v>
      </c>
      <c r="D13" s="362">
        <v>0.1855</v>
      </c>
      <c r="E13" s="362">
        <v>0.18870000000000001</v>
      </c>
      <c r="F13" s="362">
        <v>0.19400000000000001</v>
      </c>
      <c r="G13" s="363">
        <v>0.23769999999999999</v>
      </c>
      <c r="H13" s="363">
        <v>0.2354</v>
      </c>
      <c r="I13" s="363">
        <v>0.23469999999999999</v>
      </c>
      <c r="J13" s="363">
        <v>0.23549999999999999</v>
      </c>
      <c r="K13" s="364">
        <v>0.24249999999999999</v>
      </c>
      <c r="L13" s="364">
        <v>0.23830000000000001</v>
      </c>
      <c r="M13" s="364">
        <v>0.23849999999999999</v>
      </c>
      <c r="N13" s="364"/>
    </row>
    <row r="14" spans="1:14" ht="15" customHeight="1">
      <c r="A14" s="545" t="s">
        <v>476</v>
      </c>
      <c r="B14" s="548" t="s">
        <v>595</v>
      </c>
      <c r="C14" s="362">
        <v>7.22E-2</v>
      </c>
      <c r="D14" s="362">
        <v>7.17E-2</v>
      </c>
      <c r="E14" s="362">
        <v>7.1300000000000002E-2</v>
      </c>
      <c r="F14" s="362">
        <v>7.1199999999999999E-2</v>
      </c>
      <c r="G14" s="363">
        <v>7.1900000000000006E-2</v>
      </c>
      <c r="H14" s="363">
        <v>7.1599999999999997E-2</v>
      </c>
      <c r="I14" s="363">
        <v>7.3099999999999998E-2</v>
      </c>
      <c r="J14" s="363">
        <v>7.4200000000000002E-2</v>
      </c>
      <c r="K14" s="364">
        <v>7.7700000000000005E-2</v>
      </c>
      <c r="L14" s="364">
        <v>7.6700000000000004E-2</v>
      </c>
      <c r="M14" s="364">
        <v>7.6200000000000004E-2</v>
      </c>
      <c r="N14" s="364"/>
    </row>
    <row r="15" spans="1:14" s="550" customFormat="1" ht="15" customHeight="1">
      <c r="A15" s="545" t="s">
        <v>45</v>
      </c>
      <c r="B15" s="548" t="s">
        <v>570</v>
      </c>
      <c r="C15" s="362">
        <v>9.8699999999999996E-2</v>
      </c>
      <c r="D15" s="362">
        <v>9.9400000000000002E-2</v>
      </c>
      <c r="E15" s="362">
        <v>0.1007</v>
      </c>
      <c r="F15" s="362">
        <v>0.1032</v>
      </c>
      <c r="G15" s="363">
        <v>0.12470000000000001</v>
      </c>
      <c r="H15" s="363">
        <v>0.1235</v>
      </c>
      <c r="I15" s="363">
        <v>0.1245</v>
      </c>
      <c r="J15" s="363">
        <v>0.1258</v>
      </c>
      <c r="K15" s="364">
        <v>0.128</v>
      </c>
      <c r="L15" s="364">
        <v>0.12570000000000001</v>
      </c>
      <c r="M15" s="364">
        <v>0.12520000000000001</v>
      </c>
      <c r="N15" s="364"/>
    </row>
    <row r="16" spans="1:14" s="551" customFormat="1" ht="15" customHeight="1">
      <c r="A16" s="545" t="s">
        <v>609</v>
      </c>
      <c r="B16" s="548" t="s">
        <v>610</v>
      </c>
      <c r="C16" s="362">
        <v>4.2679</v>
      </c>
      <c r="D16" s="362">
        <v>4.2332000000000001</v>
      </c>
      <c r="E16" s="362">
        <v>4.2324999999999999</v>
      </c>
      <c r="F16" s="362">
        <v>4.2710999999999997</v>
      </c>
      <c r="G16" s="363">
        <v>4.4645999999999999</v>
      </c>
      <c r="H16" s="363">
        <v>4.4238999999999997</v>
      </c>
      <c r="I16" s="363">
        <v>4.5110999999999999</v>
      </c>
      <c r="J16" s="363">
        <v>4.5777000000000001</v>
      </c>
      <c r="K16" s="364">
        <v>4.8708</v>
      </c>
      <c r="L16" s="364">
        <v>4.8178000000000001</v>
      </c>
      <c r="M16" s="364">
        <v>4.7938999999999998</v>
      </c>
      <c r="N16" s="364"/>
    </row>
    <row r="17" spans="1:14" s="551" customFormat="1" ht="15" customHeight="1">
      <c r="A17" s="552" t="s">
        <v>613</v>
      </c>
      <c r="B17" s="553" t="s">
        <v>618</v>
      </c>
      <c r="C17" s="506">
        <v>6.1999999999999998E-3</v>
      </c>
      <c r="D17" s="506">
        <v>6.1999999999999998E-3</v>
      </c>
      <c r="E17" s="506">
        <v>6.3E-3</v>
      </c>
      <c r="F17" s="506">
        <v>6.4000000000000003E-3</v>
      </c>
      <c r="G17" s="507">
        <v>7.4999999999999997E-3</v>
      </c>
      <c r="H17" s="507">
        <v>7.3000000000000001E-3</v>
      </c>
      <c r="I17" s="507">
        <v>7.0000000000000001E-3</v>
      </c>
      <c r="J17" s="507">
        <v>6.7999999999999996E-3</v>
      </c>
      <c r="K17" s="508">
        <v>6.8999999999999999E-3</v>
      </c>
      <c r="L17" s="508">
        <v>6.8999999999999999E-3</v>
      </c>
      <c r="M17" s="508">
        <v>6.8999999999999999E-3</v>
      </c>
      <c r="N17" s="508"/>
    </row>
    <row r="18" spans="1:14" s="551" customFormat="1" ht="12.75" customHeight="1">
      <c r="B18" s="554"/>
      <c r="C18" s="153"/>
      <c r="D18" s="153"/>
      <c r="E18" s="153"/>
      <c r="F18" s="153"/>
      <c r="G18" s="153"/>
      <c r="H18" s="153"/>
      <c r="I18" s="153"/>
      <c r="J18" s="153"/>
    </row>
    <row r="19" spans="1:14" s="551" customFormat="1" ht="12.75" customHeight="1">
      <c r="B19" s="554"/>
      <c r="C19" s="153"/>
      <c r="D19" s="153"/>
      <c r="E19" s="153"/>
      <c r="F19" s="153"/>
      <c r="G19" s="153"/>
      <c r="H19" s="153"/>
      <c r="I19" s="153"/>
      <c r="J19" s="153"/>
    </row>
    <row r="20" spans="1:14" s="551" customFormat="1" ht="12.75" customHeight="1">
      <c r="B20" s="554"/>
      <c r="C20" s="153"/>
      <c r="D20" s="153"/>
      <c r="E20" s="153"/>
      <c r="F20" s="153"/>
      <c r="G20" s="153"/>
      <c r="H20" s="153"/>
      <c r="I20" s="153"/>
      <c r="J20" s="153"/>
    </row>
    <row r="21" spans="1:14" s="551" customFormat="1" ht="12.75" customHeight="1">
      <c r="B21" s="554"/>
      <c r="C21" s="153"/>
      <c r="D21" s="153"/>
      <c r="E21" s="153"/>
      <c r="F21" s="153"/>
      <c r="G21" s="153"/>
      <c r="H21" s="153"/>
      <c r="I21" s="153"/>
      <c r="J21" s="153"/>
    </row>
    <row r="22" spans="1:14" ht="12.75" customHeight="1">
      <c r="C22" s="153"/>
      <c r="D22" s="153"/>
      <c r="E22" s="153"/>
      <c r="F22" s="153"/>
      <c r="G22" s="153"/>
      <c r="H22" s="153"/>
      <c r="I22" s="153"/>
      <c r="J22" s="153"/>
    </row>
    <row r="23" spans="1:14" ht="12.75" customHeight="1">
      <c r="C23" s="153"/>
      <c r="D23" s="153"/>
      <c r="E23" s="153"/>
      <c r="F23" s="153"/>
      <c r="G23" s="153"/>
      <c r="H23" s="153"/>
      <c r="I23" s="153"/>
      <c r="J23" s="153"/>
    </row>
    <row r="24" spans="1:14" ht="12.75" customHeight="1">
      <c r="C24" s="153"/>
      <c r="D24" s="153"/>
      <c r="E24" s="153"/>
      <c r="F24" s="153"/>
      <c r="G24" s="153"/>
      <c r="H24" s="153"/>
      <c r="I24" s="153"/>
      <c r="J24" s="153"/>
    </row>
    <row r="25" spans="1:14" ht="12.75" customHeight="1">
      <c r="C25" s="153"/>
      <c r="D25" s="153"/>
      <c r="E25" s="153"/>
      <c r="F25" s="153"/>
      <c r="G25" s="153"/>
      <c r="H25" s="153"/>
      <c r="I25" s="153"/>
      <c r="J25" s="153"/>
    </row>
    <row r="26" spans="1:14" ht="12.75" customHeight="1">
      <c r="C26" s="153"/>
      <c r="D26" s="153"/>
      <c r="E26" s="153"/>
      <c r="F26" s="153"/>
      <c r="G26" s="153"/>
      <c r="H26" s="153"/>
      <c r="I26" s="153"/>
      <c r="J26" s="153"/>
    </row>
    <row r="27" spans="1:14" ht="12.75" customHeight="1">
      <c r="C27" s="153"/>
      <c r="D27" s="153"/>
      <c r="E27" s="153"/>
      <c r="F27" s="153"/>
      <c r="G27" s="153"/>
      <c r="H27" s="153"/>
      <c r="I27" s="153"/>
      <c r="J27" s="153"/>
    </row>
    <row r="28" spans="1:14" ht="12.75" customHeight="1">
      <c r="C28" s="153"/>
      <c r="D28" s="153"/>
      <c r="E28" s="153"/>
      <c r="F28" s="153"/>
      <c r="G28" s="153"/>
      <c r="H28" s="153"/>
      <c r="I28" s="153"/>
      <c r="J28" s="153"/>
    </row>
    <row r="29" spans="1:14" ht="12.75" customHeight="1">
      <c r="C29" s="153"/>
      <c r="D29" s="153"/>
      <c r="E29" s="153"/>
      <c r="F29" s="153"/>
      <c r="G29" s="153"/>
      <c r="H29" s="153"/>
      <c r="I29" s="153"/>
      <c r="J29" s="153"/>
    </row>
    <row r="30" spans="1:14" ht="12.75" customHeight="1">
      <c r="C30" s="153"/>
      <c r="D30" s="153"/>
      <c r="E30" s="153"/>
      <c r="F30" s="153"/>
      <c r="G30" s="153"/>
      <c r="H30" s="153"/>
      <c r="I30" s="153"/>
      <c r="J30" s="153"/>
    </row>
    <row r="31" spans="1:14" ht="12.75" customHeight="1">
      <c r="C31" s="153"/>
      <c r="D31" s="153"/>
      <c r="E31" s="153"/>
      <c r="F31" s="153"/>
      <c r="G31" s="153"/>
      <c r="H31" s="153"/>
      <c r="I31" s="153"/>
      <c r="J31" s="153"/>
    </row>
    <row r="32" spans="1:14" ht="12.75" customHeight="1">
      <c r="C32" s="153"/>
      <c r="D32" s="153"/>
      <c r="E32" s="153"/>
      <c r="F32" s="153"/>
      <c r="G32" s="153"/>
      <c r="H32" s="153"/>
      <c r="I32" s="153"/>
      <c r="J32" s="153"/>
    </row>
  </sheetData>
  <mergeCells count="3">
    <mergeCell ref="C4:F4"/>
    <mergeCell ref="G4:J4"/>
    <mergeCell ref="K4:N4"/>
  </mergeCells>
  <printOptions gridLines="1"/>
  <pageMargins left="0.70866141732283472" right="0.70866141732283472" top="0.59055118110236227" bottom="0.59055118110236227" header="0.39370078740157483" footer="0.39370078740157483"/>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C2:I62"/>
  <sheetViews>
    <sheetView showGridLines="0" topLeftCell="A28" zoomScale="90" zoomScaleNormal="90" workbookViewId="0">
      <selection activeCell="G70" sqref="G70"/>
    </sheetView>
  </sheetViews>
  <sheetFormatPr defaultRowHeight="12.75"/>
  <cols>
    <col min="3" max="3" width="31.140625" bestFit="1" customWidth="1"/>
    <col min="4" max="4" width="12" bestFit="1" customWidth="1"/>
    <col min="5" max="5" width="11.7109375" bestFit="1" customWidth="1"/>
    <col min="6" max="6" width="11.7109375" customWidth="1"/>
    <col min="9" max="9" width="11.7109375" bestFit="1" customWidth="1"/>
  </cols>
  <sheetData>
    <row r="2" spans="3:9">
      <c r="C2" s="381"/>
      <c r="D2" s="385" t="s">
        <v>641</v>
      </c>
      <c r="E2" s="385" t="s">
        <v>640</v>
      </c>
    </row>
    <row r="3" spans="3:9" ht="15">
      <c r="C3" s="372" t="s">
        <v>632</v>
      </c>
      <c r="D3" s="401" t="e">
        <f>+#REF!</f>
        <v>#REF!</v>
      </c>
      <c r="E3" s="401" t="e">
        <f>#REF!</f>
        <v>#REF!</v>
      </c>
      <c r="F3" s="236" t="s">
        <v>644</v>
      </c>
    </row>
    <row r="5" spans="3:9">
      <c r="D5" s="226" t="s">
        <v>9</v>
      </c>
      <c r="F5" s="226" t="s">
        <v>146</v>
      </c>
      <c r="G5" s="226" t="s">
        <v>146</v>
      </c>
    </row>
    <row r="6" spans="3:9">
      <c r="C6" s="381"/>
      <c r="D6" s="385" t="s">
        <v>626</v>
      </c>
      <c r="E6" s="385" t="s">
        <v>11</v>
      </c>
      <c r="F6" s="385" t="s">
        <v>641</v>
      </c>
      <c r="G6" s="385" t="s">
        <v>640</v>
      </c>
      <c r="H6" s="385" t="s">
        <v>631</v>
      </c>
      <c r="I6" s="385" t="s">
        <v>11</v>
      </c>
    </row>
    <row r="7" spans="3:9" ht="15">
      <c r="C7" s="372" t="s">
        <v>47</v>
      </c>
      <c r="D7" s="373" t="e">
        <f>#REF!</f>
        <v>#REF!</v>
      </c>
      <c r="E7" s="374" t="e">
        <f>D7/$D$22</f>
        <v>#REF!</v>
      </c>
      <c r="F7" s="373" t="e">
        <f>#REF!</f>
        <v>#REF!</v>
      </c>
      <c r="G7" s="373" t="e">
        <f>#REF!</f>
        <v>#REF!</v>
      </c>
      <c r="H7" s="373" t="e">
        <f>G7-F7</f>
        <v>#REF!</v>
      </c>
      <c r="I7" s="374" t="e">
        <f>H7/$D$3</f>
        <v>#REF!</v>
      </c>
    </row>
    <row r="8" spans="3:9" ht="15">
      <c r="C8" s="375" t="s">
        <v>23</v>
      </c>
      <c r="D8" s="373" t="e">
        <f>#REF!</f>
        <v>#REF!</v>
      </c>
      <c r="E8" s="376" t="e">
        <f t="shared" ref="E8:E21" si="0">D8/$D$22</f>
        <v>#REF!</v>
      </c>
      <c r="F8" s="373" t="e">
        <f>#REF!</f>
        <v>#REF!</v>
      </c>
      <c r="G8" s="373" t="e">
        <f>#REF!</f>
        <v>#REF!</v>
      </c>
      <c r="H8" s="373" t="e">
        <f t="shared" ref="H8:H21" si="1">G8-F8</f>
        <v>#REF!</v>
      </c>
      <c r="I8" s="374" t="e">
        <f t="shared" ref="I8:I21" si="2">H8/$D$3</f>
        <v>#REF!</v>
      </c>
    </row>
    <row r="9" spans="3:9" ht="15">
      <c r="C9" s="375" t="s">
        <v>13</v>
      </c>
      <c r="D9" s="373" t="e">
        <f>#REF!</f>
        <v>#REF!</v>
      </c>
      <c r="E9" s="376" t="e">
        <f t="shared" si="0"/>
        <v>#REF!</v>
      </c>
      <c r="F9" s="373" t="e">
        <f>#REF!</f>
        <v>#REF!</v>
      </c>
      <c r="G9" s="373" t="e">
        <f>#REF!</f>
        <v>#REF!</v>
      </c>
      <c r="H9" s="373" t="e">
        <f t="shared" si="1"/>
        <v>#REF!</v>
      </c>
      <c r="I9" s="374" t="e">
        <f t="shared" si="2"/>
        <v>#REF!</v>
      </c>
    </row>
    <row r="10" spans="3:9" ht="15">
      <c r="C10" s="375" t="s">
        <v>572</v>
      </c>
      <c r="D10" s="373" t="e">
        <f>#REF!</f>
        <v>#REF!</v>
      </c>
      <c r="E10" s="376" t="e">
        <f t="shared" si="0"/>
        <v>#REF!</v>
      </c>
      <c r="F10" s="373" t="e">
        <f>#REF!</f>
        <v>#REF!</v>
      </c>
      <c r="G10" s="373" t="e">
        <f>#REF!</f>
        <v>#REF!</v>
      </c>
      <c r="H10" s="373" t="e">
        <f t="shared" si="1"/>
        <v>#REF!</v>
      </c>
      <c r="I10" s="374" t="e">
        <f t="shared" si="2"/>
        <v>#REF!</v>
      </c>
    </row>
    <row r="11" spans="3:9" ht="15">
      <c r="C11" s="375" t="s">
        <v>611</v>
      </c>
      <c r="D11" s="373" t="e">
        <f>#REF!</f>
        <v>#REF!</v>
      </c>
      <c r="E11" s="376" t="e">
        <f t="shared" si="0"/>
        <v>#REF!</v>
      </c>
      <c r="F11" s="373" t="e">
        <f>#REF!</f>
        <v>#REF!</v>
      </c>
      <c r="G11" s="373" t="e">
        <f>#REF!</f>
        <v>#REF!</v>
      </c>
      <c r="H11" s="373" t="e">
        <f t="shared" si="1"/>
        <v>#REF!</v>
      </c>
      <c r="I11" s="374" t="e">
        <f t="shared" si="2"/>
        <v>#REF!</v>
      </c>
    </row>
    <row r="12" spans="3:9" ht="15">
      <c r="C12" s="375" t="s">
        <v>620</v>
      </c>
      <c r="D12" s="373" t="e">
        <f>#REF!</f>
        <v>#REF!</v>
      </c>
      <c r="E12" s="376" t="e">
        <f t="shared" si="0"/>
        <v>#REF!</v>
      </c>
      <c r="F12" s="373" t="e">
        <f>#REF!</f>
        <v>#REF!</v>
      </c>
      <c r="G12" s="373" t="e">
        <f>#REF!</f>
        <v>#REF!</v>
      </c>
      <c r="H12" s="373" t="e">
        <f t="shared" si="1"/>
        <v>#REF!</v>
      </c>
      <c r="I12" s="374" t="e">
        <f t="shared" si="2"/>
        <v>#REF!</v>
      </c>
    </row>
    <row r="13" spans="3:9" ht="15">
      <c r="C13" s="375" t="s">
        <v>138</v>
      </c>
      <c r="D13" s="373" t="e">
        <f>#REF!</f>
        <v>#REF!</v>
      </c>
      <c r="E13" s="376" t="e">
        <f t="shared" si="0"/>
        <v>#REF!</v>
      </c>
      <c r="F13" s="373" t="e">
        <f>#REF!</f>
        <v>#REF!</v>
      </c>
      <c r="G13" s="373" t="e">
        <f>#REF!</f>
        <v>#REF!</v>
      </c>
      <c r="H13" s="373" t="e">
        <f t="shared" si="1"/>
        <v>#REF!</v>
      </c>
      <c r="I13" s="374" t="e">
        <f t="shared" si="2"/>
        <v>#REF!</v>
      </c>
    </row>
    <row r="14" spans="3:9" ht="15">
      <c r="C14" s="375" t="s">
        <v>382</v>
      </c>
      <c r="D14" s="373" t="e">
        <f>#REF!</f>
        <v>#REF!</v>
      </c>
      <c r="E14" s="376" t="e">
        <f t="shared" si="0"/>
        <v>#REF!</v>
      </c>
      <c r="F14" s="373" t="e">
        <f>#REF!</f>
        <v>#REF!</v>
      </c>
      <c r="G14" s="373" t="e">
        <f>#REF!</f>
        <v>#REF!</v>
      </c>
      <c r="H14" s="373" t="e">
        <f t="shared" si="1"/>
        <v>#REF!</v>
      </c>
      <c r="I14" s="374" t="e">
        <f t="shared" si="2"/>
        <v>#REF!</v>
      </c>
    </row>
    <row r="15" spans="3:9" ht="15">
      <c r="C15" s="375" t="s">
        <v>498</v>
      </c>
      <c r="D15" s="373" t="e">
        <f>#REF!</f>
        <v>#REF!</v>
      </c>
      <c r="E15" s="376" t="e">
        <f t="shared" si="0"/>
        <v>#REF!</v>
      </c>
      <c r="F15" s="373" t="e">
        <f>#REF!</f>
        <v>#REF!</v>
      </c>
      <c r="G15" s="373" t="e">
        <f>#REF!</f>
        <v>#REF!</v>
      </c>
      <c r="H15" s="373" t="e">
        <f t="shared" si="1"/>
        <v>#REF!</v>
      </c>
      <c r="I15" s="374" t="e">
        <f t="shared" si="2"/>
        <v>#REF!</v>
      </c>
    </row>
    <row r="16" spans="3:9" ht="15">
      <c r="C16" s="375" t="s">
        <v>26</v>
      </c>
      <c r="D16" s="373" t="e">
        <f>#REF!</f>
        <v>#REF!</v>
      </c>
      <c r="E16" s="376" t="e">
        <f t="shared" si="0"/>
        <v>#REF!</v>
      </c>
      <c r="F16" s="373" t="e">
        <f>#REF!</f>
        <v>#REF!</v>
      </c>
      <c r="G16" s="373" t="e">
        <f>#REF!</f>
        <v>#REF!</v>
      </c>
      <c r="H16" s="373" t="e">
        <f t="shared" si="1"/>
        <v>#REF!</v>
      </c>
      <c r="I16" s="374" t="e">
        <f t="shared" si="2"/>
        <v>#REF!</v>
      </c>
    </row>
    <row r="17" spans="3:9" ht="15">
      <c r="C17" s="375" t="s">
        <v>45</v>
      </c>
      <c r="D17" s="373" t="e">
        <f>#REF!</f>
        <v>#REF!</v>
      </c>
      <c r="E17" s="376" t="e">
        <f t="shared" si="0"/>
        <v>#REF!</v>
      </c>
      <c r="F17" s="373" t="e">
        <f>#REF!</f>
        <v>#REF!</v>
      </c>
      <c r="G17" s="373" t="e">
        <f>#REF!</f>
        <v>#REF!</v>
      </c>
      <c r="H17" s="373" t="e">
        <f t="shared" si="1"/>
        <v>#REF!</v>
      </c>
      <c r="I17" s="374" t="e">
        <f t="shared" si="2"/>
        <v>#REF!</v>
      </c>
    </row>
    <row r="18" spans="3:9" ht="15">
      <c r="C18" s="375" t="s">
        <v>613</v>
      </c>
      <c r="D18" s="373" t="e">
        <f>#REF!</f>
        <v>#REF!</v>
      </c>
      <c r="E18" s="376" t="e">
        <f t="shared" si="0"/>
        <v>#REF!</v>
      </c>
      <c r="F18" s="373" t="e">
        <f>#REF!</f>
        <v>#REF!</v>
      </c>
      <c r="G18" s="373" t="e">
        <f>#REF!</f>
        <v>#REF!</v>
      </c>
      <c r="H18" s="373" t="e">
        <f t="shared" si="1"/>
        <v>#REF!</v>
      </c>
      <c r="I18" s="374" t="e">
        <f t="shared" si="2"/>
        <v>#REF!</v>
      </c>
    </row>
    <row r="19" spans="3:9" ht="15">
      <c r="C19" s="377" t="s">
        <v>380</v>
      </c>
      <c r="D19" s="373" t="e">
        <f>#REF!</f>
        <v>#REF!</v>
      </c>
      <c r="E19" s="376" t="e">
        <f t="shared" si="0"/>
        <v>#REF!</v>
      </c>
      <c r="F19" s="373" t="e">
        <f>#REF!</f>
        <v>#REF!</v>
      </c>
      <c r="G19" s="373" t="e">
        <f>#REF!</f>
        <v>#REF!</v>
      </c>
      <c r="H19" s="373" t="e">
        <f t="shared" si="1"/>
        <v>#REF!</v>
      </c>
      <c r="I19" s="374" t="e">
        <f t="shared" si="2"/>
        <v>#REF!</v>
      </c>
    </row>
    <row r="20" spans="3:9" ht="15">
      <c r="C20" s="377" t="s">
        <v>135</v>
      </c>
      <c r="D20" s="373" t="e">
        <f>#REF!</f>
        <v>#REF!</v>
      </c>
      <c r="E20" s="376" t="e">
        <f t="shared" si="0"/>
        <v>#REF!</v>
      </c>
      <c r="F20" s="373" t="e">
        <f>#REF!</f>
        <v>#REF!</v>
      </c>
      <c r="G20" s="373" t="e">
        <f>#REF!</f>
        <v>#REF!</v>
      </c>
      <c r="H20" s="373" t="e">
        <f t="shared" si="1"/>
        <v>#REF!</v>
      </c>
      <c r="I20" s="374" t="e">
        <f t="shared" si="2"/>
        <v>#REF!</v>
      </c>
    </row>
    <row r="21" spans="3:9" ht="15">
      <c r="C21" s="3" t="s">
        <v>410</v>
      </c>
      <c r="D21" s="373" t="e">
        <f>+#REF!/1000+#REF!/1000</f>
        <v>#REF!</v>
      </c>
      <c r="E21" s="238" t="e">
        <f t="shared" si="0"/>
        <v>#REF!</v>
      </c>
      <c r="F21" s="373" t="e">
        <f>F22-SUM(F7:F20)</f>
        <v>#REF!</v>
      </c>
      <c r="G21" s="373" t="e">
        <f>G22-SUM(G7:G20)</f>
        <v>#REF!</v>
      </c>
      <c r="H21" s="373" t="e">
        <f t="shared" si="1"/>
        <v>#REF!</v>
      </c>
      <c r="I21" s="374" t="e">
        <f t="shared" si="2"/>
        <v>#REF!</v>
      </c>
    </row>
    <row r="22" spans="3:9" ht="15">
      <c r="C22" s="378" t="s">
        <v>626</v>
      </c>
      <c r="D22" s="379" t="e">
        <f>SUM(D7:D21)</f>
        <v>#REF!</v>
      </c>
      <c r="E22" s="380"/>
      <c r="F22" s="379" t="e">
        <f>#REF!</f>
        <v>#REF!</v>
      </c>
      <c r="G22" s="379" t="e">
        <f>#REF!</f>
        <v>#REF!</v>
      </c>
      <c r="H22" s="379" t="e">
        <f>G22-F22</f>
        <v>#REF!</v>
      </c>
      <c r="I22" s="374" t="e">
        <f>H22/$D$3</f>
        <v>#REF!</v>
      </c>
    </row>
    <row r="23" spans="3:9" ht="15">
      <c r="C23" s="3" t="s">
        <v>384</v>
      </c>
      <c r="F23" s="238" t="e">
        <f>F22/D3</f>
        <v>#REF!</v>
      </c>
      <c r="G23" s="238" t="e">
        <f>G22/E3</f>
        <v>#REF!</v>
      </c>
      <c r="H23" s="390" t="e">
        <f>G23-F23</f>
        <v>#REF!</v>
      </c>
      <c r="I23" s="390"/>
    </row>
    <row r="25" spans="3:9">
      <c r="D25" s="226" t="s">
        <v>146</v>
      </c>
    </row>
    <row r="26" spans="3:9">
      <c r="C26" s="381"/>
      <c r="D26" s="385" t="s">
        <v>12</v>
      </c>
      <c r="E26" s="385" t="s">
        <v>53</v>
      </c>
      <c r="F26" s="385"/>
    </row>
    <row r="27" spans="3:9" ht="15">
      <c r="C27" s="372" t="s">
        <v>47</v>
      </c>
      <c r="D27" s="373" t="e">
        <f>#REF!</f>
        <v>#REF!</v>
      </c>
      <c r="E27" s="374" t="e">
        <f t="shared" ref="E27:E40" si="3">D27/$D$41</f>
        <v>#REF!</v>
      </c>
      <c r="F27" s="388"/>
    </row>
    <row r="28" spans="3:9" ht="15">
      <c r="C28" s="375" t="s">
        <v>23</v>
      </c>
      <c r="D28" s="373" t="e">
        <f>#REF!</f>
        <v>#REF!</v>
      </c>
      <c r="E28" s="376" t="e">
        <f>D28/$D$41</f>
        <v>#REF!</v>
      </c>
      <c r="F28" s="388"/>
    </row>
    <row r="29" spans="3:9" ht="15">
      <c r="C29" s="375" t="s">
        <v>13</v>
      </c>
      <c r="D29" s="373" t="e">
        <f>#REF!</f>
        <v>#REF!</v>
      </c>
      <c r="E29" s="376" t="e">
        <f t="shared" si="3"/>
        <v>#REF!</v>
      </c>
      <c r="F29" s="388"/>
    </row>
    <row r="30" spans="3:9" ht="15">
      <c r="C30" s="375" t="s">
        <v>572</v>
      </c>
      <c r="D30" s="373" t="e">
        <f>#REF!</f>
        <v>#REF!</v>
      </c>
      <c r="E30" s="376" t="e">
        <f t="shared" si="3"/>
        <v>#REF!</v>
      </c>
      <c r="F30" s="388"/>
    </row>
    <row r="31" spans="3:9" ht="15">
      <c r="C31" s="375" t="s">
        <v>611</v>
      </c>
      <c r="D31" s="373" t="e">
        <f>#REF!</f>
        <v>#REF!</v>
      </c>
      <c r="E31" s="376" t="e">
        <f t="shared" si="3"/>
        <v>#REF!</v>
      </c>
      <c r="F31" s="388"/>
    </row>
    <row r="32" spans="3:9" ht="15">
      <c r="C32" s="375" t="s">
        <v>620</v>
      </c>
      <c r="D32" s="373" t="e">
        <f>#REF!</f>
        <v>#REF!</v>
      </c>
      <c r="E32" s="376" t="e">
        <f t="shared" si="3"/>
        <v>#REF!</v>
      </c>
      <c r="F32" s="388"/>
    </row>
    <row r="33" spans="3:6" ht="15">
      <c r="C33" s="375" t="s">
        <v>138</v>
      </c>
      <c r="D33" s="373" t="e">
        <f>#REF!</f>
        <v>#REF!</v>
      </c>
      <c r="E33" s="376" t="e">
        <f t="shared" si="3"/>
        <v>#REF!</v>
      </c>
      <c r="F33" s="388"/>
    </row>
    <row r="34" spans="3:6" ht="15">
      <c r="C34" s="375" t="s">
        <v>382</v>
      </c>
      <c r="D34" s="373" t="e">
        <f>#REF!</f>
        <v>#REF!</v>
      </c>
      <c r="E34" s="376" t="e">
        <f t="shared" si="3"/>
        <v>#REF!</v>
      </c>
      <c r="F34" s="388"/>
    </row>
    <row r="35" spans="3:6" ht="15">
      <c r="C35" s="375" t="s">
        <v>498</v>
      </c>
      <c r="D35" s="373" t="e">
        <f>#REF!</f>
        <v>#REF!</v>
      </c>
      <c r="E35" s="376" t="e">
        <f t="shared" si="3"/>
        <v>#REF!</v>
      </c>
      <c r="F35" s="388"/>
    </row>
    <row r="36" spans="3:6" ht="15">
      <c r="C36" s="375" t="s">
        <v>26</v>
      </c>
      <c r="D36" s="373" t="e">
        <f>#REF!</f>
        <v>#REF!</v>
      </c>
      <c r="E36" s="376" t="e">
        <f t="shared" si="3"/>
        <v>#REF!</v>
      </c>
      <c r="F36" s="388"/>
    </row>
    <row r="37" spans="3:6" ht="15">
      <c r="C37" s="375" t="s">
        <v>45</v>
      </c>
      <c r="D37" s="373" t="e">
        <f>#REF!</f>
        <v>#REF!</v>
      </c>
      <c r="E37" s="376" t="e">
        <f t="shared" si="3"/>
        <v>#REF!</v>
      </c>
      <c r="F37" s="388"/>
    </row>
    <row r="38" spans="3:6" ht="15">
      <c r="C38" s="375" t="s">
        <v>613</v>
      </c>
      <c r="D38" s="373" t="e">
        <f>#REF!</f>
        <v>#REF!</v>
      </c>
      <c r="E38" s="376" t="e">
        <f t="shared" si="3"/>
        <v>#REF!</v>
      </c>
      <c r="F38" s="388"/>
    </row>
    <row r="39" spans="3:6" ht="15">
      <c r="C39" s="377" t="s">
        <v>380</v>
      </c>
      <c r="D39" s="373" t="e">
        <f>#REF!</f>
        <v>#REF!</v>
      </c>
      <c r="E39" s="376" t="e">
        <f t="shared" si="3"/>
        <v>#REF!</v>
      </c>
      <c r="F39" s="388"/>
    </row>
    <row r="40" spans="3:6" ht="15">
      <c r="C40" s="377" t="s">
        <v>135</v>
      </c>
      <c r="D40" s="382" t="e">
        <f>#REF!</f>
        <v>#REF!</v>
      </c>
      <c r="E40" s="384" t="e">
        <f t="shared" si="3"/>
        <v>#REF!</v>
      </c>
      <c r="F40" s="388"/>
    </row>
    <row r="41" spans="3:6" ht="15">
      <c r="C41" s="378" t="s">
        <v>12</v>
      </c>
      <c r="D41" s="383" t="e">
        <f>SUM(D27:D40)</f>
        <v>#REF!</v>
      </c>
      <c r="E41" s="380"/>
      <c r="F41" s="389"/>
    </row>
    <row r="47" spans="3:6">
      <c r="C47" s="381"/>
      <c r="D47" s="385" t="s">
        <v>627</v>
      </c>
      <c r="E47" s="385" t="s">
        <v>11</v>
      </c>
      <c r="F47" s="385"/>
    </row>
    <row r="48" spans="3:6" ht="15">
      <c r="C48" s="372" t="s">
        <v>47</v>
      </c>
      <c r="D48" s="373" t="e">
        <f t="shared" ref="D48:D61" si="4">D7-D27</f>
        <v>#REF!</v>
      </c>
      <c r="E48" s="374" t="e">
        <f t="shared" ref="E48:E61" si="5">D48/$D$41</f>
        <v>#REF!</v>
      </c>
      <c r="F48" s="388"/>
    </row>
    <row r="49" spans="3:6" ht="15">
      <c r="C49" s="375" t="s">
        <v>23</v>
      </c>
      <c r="D49" s="373" t="e">
        <f t="shared" si="4"/>
        <v>#REF!</v>
      </c>
      <c r="E49" s="376" t="e">
        <f t="shared" si="5"/>
        <v>#REF!</v>
      </c>
      <c r="F49" s="388"/>
    </row>
    <row r="50" spans="3:6" ht="15">
      <c r="C50" s="375" t="s">
        <v>13</v>
      </c>
      <c r="D50" s="373" t="e">
        <f t="shared" si="4"/>
        <v>#REF!</v>
      </c>
      <c r="E50" s="376" t="e">
        <f t="shared" si="5"/>
        <v>#REF!</v>
      </c>
      <c r="F50" s="388"/>
    </row>
    <row r="51" spans="3:6" ht="15">
      <c r="C51" s="375" t="s">
        <v>572</v>
      </c>
      <c r="D51" s="373" t="e">
        <f t="shared" si="4"/>
        <v>#REF!</v>
      </c>
      <c r="E51" s="376" t="e">
        <f t="shared" si="5"/>
        <v>#REF!</v>
      </c>
      <c r="F51" s="388"/>
    </row>
    <row r="52" spans="3:6" ht="15">
      <c r="C52" s="375" t="s">
        <v>611</v>
      </c>
      <c r="D52" s="373" t="e">
        <f t="shared" si="4"/>
        <v>#REF!</v>
      </c>
      <c r="E52" s="376" t="e">
        <f t="shared" si="5"/>
        <v>#REF!</v>
      </c>
      <c r="F52" s="388"/>
    </row>
    <row r="53" spans="3:6" ht="15">
      <c r="C53" s="375" t="s">
        <v>620</v>
      </c>
      <c r="D53" s="373" t="e">
        <f t="shared" si="4"/>
        <v>#REF!</v>
      </c>
      <c r="E53" s="376" t="e">
        <f t="shared" si="5"/>
        <v>#REF!</v>
      </c>
      <c r="F53" s="388"/>
    </row>
    <row r="54" spans="3:6" ht="15">
      <c r="C54" s="375" t="s">
        <v>138</v>
      </c>
      <c r="D54" s="373" t="e">
        <f t="shared" si="4"/>
        <v>#REF!</v>
      </c>
      <c r="E54" s="376" t="e">
        <f t="shared" si="5"/>
        <v>#REF!</v>
      </c>
      <c r="F54" s="388"/>
    </row>
    <row r="55" spans="3:6" ht="15">
      <c r="C55" s="375" t="s">
        <v>382</v>
      </c>
      <c r="D55" s="373" t="e">
        <f t="shared" si="4"/>
        <v>#REF!</v>
      </c>
      <c r="E55" s="376" t="e">
        <f t="shared" si="5"/>
        <v>#REF!</v>
      </c>
      <c r="F55" s="388"/>
    </row>
    <row r="56" spans="3:6" ht="15">
      <c r="C56" s="375" t="s">
        <v>498</v>
      </c>
      <c r="D56" s="373" t="e">
        <f t="shared" si="4"/>
        <v>#REF!</v>
      </c>
      <c r="E56" s="376" t="e">
        <f t="shared" si="5"/>
        <v>#REF!</v>
      </c>
      <c r="F56" s="388"/>
    </row>
    <row r="57" spans="3:6" ht="15">
      <c r="C57" s="375" t="s">
        <v>26</v>
      </c>
      <c r="D57" s="373" t="e">
        <f t="shared" si="4"/>
        <v>#REF!</v>
      </c>
      <c r="E57" s="376" t="e">
        <f t="shared" si="5"/>
        <v>#REF!</v>
      </c>
      <c r="F57" s="388"/>
    </row>
    <row r="58" spans="3:6" ht="15">
      <c r="C58" s="375" t="s">
        <v>45</v>
      </c>
      <c r="D58" s="373" t="e">
        <f t="shared" si="4"/>
        <v>#REF!</v>
      </c>
      <c r="E58" s="376" t="e">
        <f t="shared" si="5"/>
        <v>#REF!</v>
      </c>
      <c r="F58" s="388"/>
    </row>
    <row r="59" spans="3:6" ht="15">
      <c r="C59" s="375" t="s">
        <v>613</v>
      </c>
      <c r="D59" s="373" t="e">
        <f t="shared" si="4"/>
        <v>#REF!</v>
      </c>
      <c r="E59" s="376" t="e">
        <f t="shared" si="5"/>
        <v>#REF!</v>
      </c>
      <c r="F59" s="388"/>
    </row>
    <row r="60" spans="3:6" ht="15">
      <c r="C60" s="377" t="s">
        <v>380</v>
      </c>
      <c r="D60" s="373" t="e">
        <f t="shared" si="4"/>
        <v>#REF!</v>
      </c>
      <c r="E60" s="376" t="e">
        <f t="shared" si="5"/>
        <v>#REF!</v>
      </c>
      <c r="F60" s="388"/>
    </row>
    <row r="61" spans="3:6" ht="15">
      <c r="C61" s="377" t="s">
        <v>135</v>
      </c>
      <c r="D61" s="373" t="e">
        <f t="shared" si="4"/>
        <v>#REF!</v>
      </c>
      <c r="E61" s="384" t="e">
        <f t="shared" si="5"/>
        <v>#REF!</v>
      </c>
      <c r="F61" s="388"/>
    </row>
    <row r="62" spans="3:6" ht="15">
      <c r="C62" s="378" t="s">
        <v>627</v>
      </c>
      <c r="D62" s="383" t="e">
        <f>SUM(D48:D61)</f>
        <v>#REF!</v>
      </c>
      <c r="E62" s="380"/>
      <c r="F62" s="38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enableFormatConditionsCalculation="0">
    <tabColor indexed="11"/>
  </sheetPr>
  <dimension ref="A1:S202"/>
  <sheetViews>
    <sheetView topLeftCell="A55" workbookViewId="0">
      <selection activeCell="B82" sqref="B82"/>
    </sheetView>
  </sheetViews>
  <sheetFormatPr defaultColWidth="11.42578125" defaultRowHeight="12.75"/>
  <cols>
    <col min="1" max="1" width="22.42578125" bestFit="1" customWidth="1"/>
    <col min="2" max="2" width="22.42578125" customWidth="1"/>
  </cols>
  <sheetData>
    <row r="1" spans="1:19" s="68" customFormat="1">
      <c r="A1" s="68" t="s">
        <v>145</v>
      </c>
      <c r="B1" s="68" t="s">
        <v>402</v>
      </c>
      <c r="C1" s="68" t="s">
        <v>418</v>
      </c>
      <c r="D1" s="68" t="s">
        <v>419</v>
      </c>
      <c r="E1" s="68" t="s">
        <v>146</v>
      </c>
      <c r="F1" s="68" t="s">
        <v>147</v>
      </c>
      <c r="G1" s="68" t="s">
        <v>148</v>
      </c>
      <c r="H1" s="68" t="s">
        <v>536</v>
      </c>
      <c r="I1" s="68" t="s">
        <v>149</v>
      </c>
      <c r="J1" s="68" t="s">
        <v>150</v>
      </c>
      <c r="K1" s="68" t="s">
        <v>151</v>
      </c>
    </row>
    <row r="2" spans="1:19">
      <c r="A2" s="150" t="s">
        <v>152</v>
      </c>
      <c r="B2" s="150" t="s">
        <v>152</v>
      </c>
      <c r="C2" s="150" t="s">
        <v>516</v>
      </c>
      <c r="D2" s="150" t="s">
        <v>153</v>
      </c>
      <c r="E2" s="150" t="s">
        <v>420</v>
      </c>
      <c r="F2" s="150" t="s">
        <v>154</v>
      </c>
      <c r="G2" s="150" t="s">
        <v>155</v>
      </c>
      <c r="H2" s="150" t="s">
        <v>156</v>
      </c>
      <c r="I2" s="150" t="s">
        <v>157</v>
      </c>
      <c r="J2" s="150" t="s">
        <v>74</v>
      </c>
      <c r="K2" s="150" t="s">
        <v>158</v>
      </c>
      <c r="L2" s="150"/>
      <c r="N2" s="150"/>
      <c r="O2" s="150"/>
      <c r="P2" s="150"/>
      <c r="Q2" s="150"/>
      <c r="R2" s="150"/>
      <c r="S2" s="150"/>
    </row>
    <row r="3" spans="1:19">
      <c r="A3" s="150" t="s">
        <v>159</v>
      </c>
      <c r="B3" s="150" t="s">
        <v>159</v>
      </c>
      <c r="C3" s="150" t="s">
        <v>160</v>
      </c>
      <c r="D3" s="150" t="s">
        <v>161</v>
      </c>
      <c r="E3" s="150" t="s">
        <v>162</v>
      </c>
      <c r="F3" s="150" t="s">
        <v>163</v>
      </c>
      <c r="G3" s="150" t="s">
        <v>164</v>
      </c>
      <c r="H3" s="150" t="s">
        <v>165</v>
      </c>
      <c r="I3" s="150" t="s">
        <v>421</v>
      </c>
      <c r="J3" s="150" t="s">
        <v>75</v>
      </c>
      <c r="K3" s="150" t="s">
        <v>166</v>
      </c>
    </row>
    <row r="4" spans="1:19">
      <c r="A4" s="150" t="s">
        <v>519</v>
      </c>
      <c r="B4" s="150" t="s">
        <v>51</v>
      </c>
      <c r="D4" s="150" t="s">
        <v>167</v>
      </c>
      <c r="E4" s="150" t="s">
        <v>168</v>
      </c>
      <c r="F4" s="150" t="s">
        <v>46</v>
      </c>
      <c r="G4" s="150" t="s">
        <v>9</v>
      </c>
      <c r="H4" s="150" t="s">
        <v>169</v>
      </c>
      <c r="I4" s="150" t="s">
        <v>170</v>
      </c>
      <c r="J4" s="150" t="s">
        <v>76</v>
      </c>
      <c r="K4" s="150" t="s">
        <v>171</v>
      </c>
    </row>
    <row r="5" spans="1:19">
      <c r="A5" s="150" t="s">
        <v>520</v>
      </c>
      <c r="B5" s="150" t="s">
        <v>393</v>
      </c>
      <c r="E5" s="150" t="s">
        <v>172</v>
      </c>
      <c r="G5" s="150" t="s">
        <v>173</v>
      </c>
      <c r="H5" s="150" t="s">
        <v>174</v>
      </c>
      <c r="I5" s="150" t="s">
        <v>422</v>
      </c>
      <c r="J5" s="150" t="s">
        <v>77</v>
      </c>
      <c r="K5" s="150" t="s">
        <v>175</v>
      </c>
    </row>
    <row r="6" spans="1:19">
      <c r="A6" s="150" t="s">
        <v>176</v>
      </c>
      <c r="B6" s="150" t="s">
        <v>394</v>
      </c>
      <c r="H6" s="150" t="s">
        <v>177</v>
      </c>
      <c r="I6" s="150" t="s">
        <v>423</v>
      </c>
      <c r="J6" s="150" t="s">
        <v>78</v>
      </c>
      <c r="K6" s="150" t="s">
        <v>178</v>
      </c>
    </row>
    <row r="7" spans="1:19">
      <c r="A7" s="150" t="s">
        <v>179</v>
      </c>
      <c r="B7" s="150" t="s">
        <v>395</v>
      </c>
      <c r="H7" s="150" t="s">
        <v>180</v>
      </c>
      <c r="I7" s="150" t="s">
        <v>424</v>
      </c>
      <c r="J7" s="150" t="s">
        <v>79</v>
      </c>
      <c r="K7" s="150" t="s">
        <v>181</v>
      </c>
    </row>
    <row r="8" spans="1:19">
      <c r="A8" s="150" t="s">
        <v>182</v>
      </c>
      <c r="B8" s="150" t="s">
        <v>182</v>
      </c>
      <c r="H8" s="150" t="s">
        <v>183</v>
      </c>
      <c r="I8" s="150" t="s">
        <v>425</v>
      </c>
      <c r="J8" s="150" t="s">
        <v>80</v>
      </c>
      <c r="K8" s="150" t="s">
        <v>184</v>
      </c>
    </row>
    <row r="9" spans="1:19">
      <c r="A9" s="150" t="s">
        <v>185</v>
      </c>
      <c r="B9" s="150" t="s">
        <v>396</v>
      </c>
      <c r="H9" s="150" t="s">
        <v>186</v>
      </c>
      <c r="I9" s="150" t="s">
        <v>187</v>
      </c>
      <c r="J9" s="150" t="s">
        <v>81</v>
      </c>
      <c r="K9" s="150" t="s">
        <v>188</v>
      </c>
    </row>
    <row r="10" spans="1:19">
      <c r="A10" s="150" t="s">
        <v>189</v>
      </c>
      <c r="B10" s="150" t="s">
        <v>397</v>
      </c>
      <c r="H10" s="150" t="s">
        <v>190</v>
      </c>
      <c r="I10" s="150" t="s">
        <v>191</v>
      </c>
      <c r="J10" s="150" t="s">
        <v>82</v>
      </c>
      <c r="K10" s="150" t="s">
        <v>192</v>
      </c>
    </row>
    <row r="11" spans="1:19">
      <c r="A11" s="150" t="s">
        <v>193</v>
      </c>
      <c r="B11" s="150" t="s">
        <v>398</v>
      </c>
      <c r="H11" s="150" t="s">
        <v>194</v>
      </c>
      <c r="I11" s="150" t="s">
        <v>195</v>
      </c>
      <c r="J11" s="150" t="s">
        <v>83</v>
      </c>
      <c r="K11" s="150" t="s">
        <v>196</v>
      </c>
    </row>
    <row r="12" spans="1:19">
      <c r="A12" s="150" t="s">
        <v>197</v>
      </c>
      <c r="B12" s="150" t="s">
        <v>399</v>
      </c>
      <c r="H12" s="150" t="s">
        <v>198</v>
      </c>
      <c r="I12" s="150" t="s">
        <v>199</v>
      </c>
      <c r="J12" s="150" t="s">
        <v>84</v>
      </c>
      <c r="K12" s="150" t="s">
        <v>200</v>
      </c>
    </row>
    <row r="13" spans="1:19">
      <c r="A13" s="150" t="s">
        <v>201</v>
      </c>
      <c r="B13" s="150" t="s">
        <v>400</v>
      </c>
      <c r="H13" s="150" t="s">
        <v>202</v>
      </c>
      <c r="I13" s="150" t="s">
        <v>203</v>
      </c>
      <c r="J13" s="150" t="s">
        <v>85</v>
      </c>
      <c r="K13" s="150" t="s">
        <v>204</v>
      </c>
    </row>
    <row r="14" spans="1:19">
      <c r="A14" s="150" t="s">
        <v>205</v>
      </c>
      <c r="B14" s="150" t="s">
        <v>401</v>
      </c>
      <c r="I14" s="150" t="s">
        <v>206</v>
      </c>
      <c r="J14" s="150" t="s">
        <v>86</v>
      </c>
      <c r="K14" s="150" t="s">
        <v>207</v>
      </c>
    </row>
    <row r="15" spans="1:19">
      <c r="A15" s="150" t="s">
        <v>521</v>
      </c>
      <c r="B15" s="150" t="s">
        <v>521</v>
      </c>
      <c r="I15" s="150" t="s">
        <v>208</v>
      </c>
      <c r="J15" s="150" t="s">
        <v>87</v>
      </c>
      <c r="K15" s="150" t="s">
        <v>209</v>
      </c>
    </row>
    <row r="16" spans="1:19">
      <c r="A16" s="150" t="s">
        <v>522</v>
      </c>
      <c r="B16" s="150" t="s">
        <v>522</v>
      </c>
      <c r="I16" s="150" t="s">
        <v>210</v>
      </c>
      <c r="K16" s="150" t="s">
        <v>211</v>
      </c>
    </row>
    <row r="17" spans="1:11">
      <c r="A17" s="150" t="s">
        <v>212</v>
      </c>
      <c r="B17" s="150" t="s">
        <v>212</v>
      </c>
      <c r="I17" s="150" t="s">
        <v>213</v>
      </c>
      <c r="K17" s="150" t="s">
        <v>214</v>
      </c>
    </row>
    <row r="18" spans="1:11">
      <c r="A18" s="150" t="s">
        <v>215</v>
      </c>
      <c r="B18" s="150" t="s">
        <v>215</v>
      </c>
      <c r="I18" s="150" t="s">
        <v>216</v>
      </c>
      <c r="K18" s="150" t="s">
        <v>217</v>
      </c>
    </row>
    <row r="19" spans="1:11">
      <c r="I19" s="150" t="s">
        <v>218</v>
      </c>
      <c r="K19" s="150" t="s">
        <v>219</v>
      </c>
    </row>
    <row r="20" spans="1:11">
      <c r="A20" s="150" t="s">
        <v>523</v>
      </c>
      <c r="B20" s="150" t="s">
        <v>523</v>
      </c>
      <c r="I20" s="150" t="s">
        <v>220</v>
      </c>
      <c r="K20" s="150" t="s">
        <v>221</v>
      </c>
    </row>
    <row r="21" spans="1:11">
      <c r="I21" s="150" t="s">
        <v>222</v>
      </c>
      <c r="K21" s="150" t="s">
        <v>223</v>
      </c>
    </row>
    <row r="22" spans="1:11">
      <c r="I22" s="150" t="s">
        <v>224</v>
      </c>
      <c r="K22" s="150" t="s">
        <v>545</v>
      </c>
    </row>
    <row r="23" spans="1:11">
      <c r="I23" s="150" t="s">
        <v>225</v>
      </c>
      <c r="K23" s="150" t="s">
        <v>226</v>
      </c>
    </row>
    <row r="24" spans="1:11">
      <c r="I24" s="150" t="s">
        <v>227</v>
      </c>
      <c r="K24" s="150" t="s">
        <v>228</v>
      </c>
    </row>
    <row r="25" spans="1:11">
      <c r="A25" s="150" t="s">
        <v>88</v>
      </c>
      <c r="B25" s="150"/>
      <c r="I25" s="150" t="s">
        <v>229</v>
      </c>
      <c r="K25" s="150" t="s">
        <v>230</v>
      </c>
    </row>
    <row r="26" spans="1:11">
      <c r="A26" s="150" t="s">
        <v>89</v>
      </c>
      <c r="B26" s="150"/>
      <c r="I26" s="150" t="s">
        <v>231</v>
      </c>
      <c r="K26" s="150" t="s">
        <v>129</v>
      </c>
    </row>
    <row r="27" spans="1:11">
      <c r="A27" s="150" t="s">
        <v>90</v>
      </c>
      <c r="B27" s="150"/>
      <c r="I27" s="150" t="s">
        <v>426</v>
      </c>
    </row>
    <row r="28" spans="1:11">
      <c r="A28" s="150" t="s">
        <v>91</v>
      </c>
      <c r="B28" s="150"/>
      <c r="I28" s="150" t="s">
        <v>427</v>
      </c>
      <c r="K28" s="150" t="s">
        <v>544</v>
      </c>
    </row>
    <row r="29" spans="1:11">
      <c r="A29" s="150" t="s">
        <v>92</v>
      </c>
      <c r="B29" s="150" t="s">
        <v>403</v>
      </c>
      <c r="I29" s="150" t="s">
        <v>428</v>
      </c>
    </row>
    <row r="30" spans="1:11">
      <c r="A30" s="150" t="s">
        <v>519</v>
      </c>
      <c r="I30" s="150" t="s">
        <v>232</v>
      </c>
    </row>
    <row r="31" spans="1:11">
      <c r="A31" s="150" t="s">
        <v>93</v>
      </c>
      <c r="B31" s="150"/>
      <c r="I31" s="150" t="s">
        <v>233</v>
      </c>
    </row>
    <row r="32" spans="1:11">
      <c r="A32" s="150" t="s">
        <v>94</v>
      </c>
      <c r="B32" s="150"/>
      <c r="I32" s="150" t="s">
        <v>234</v>
      </c>
    </row>
    <row r="33" spans="1:9">
      <c r="A33" s="150" t="s">
        <v>95</v>
      </c>
      <c r="B33" s="150"/>
      <c r="I33" s="150" t="s">
        <v>235</v>
      </c>
    </row>
    <row r="34" spans="1:9">
      <c r="A34" s="150" t="s">
        <v>88</v>
      </c>
      <c r="B34" s="150"/>
      <c r="I34" s="150" t="s">
        <v>236</v>
      </c>
    </row>
    <row r="35" spans="1:9">
      <c r="A35" s="150" t="s">
        <v>96</v>
      </c>
      <c r="B35" s="150"/>
      <c r="I35" s="150" t="s">
        <v>237</v>
      </c>
    </row>
    <row r="36" spans="1:9">
      <c r="A36" s="150" t="s">
        <v>97</v>
      </c>
      <c r="B36" s="150"/>
      <c r="I36" s="150" t="s">
        <v>238</v>
      </c>
    </row>
    <row r="37" spans="1:9">
      <c r="A37" s="150" t="s">
        <v>98</v>
      </c>
      <c r="B37" s="150" t="s">
        <v>404</v>
      </c>
      <c r="I37" s="150" t="s">
        <v>239</v>
      </c>
    </row>
    <row r="38" spans="1:9">
      <c r="A38" s="150" t="s">
        <v>520</v>
      </c>
      <c r="B38" s="150"/>
      <c r="I38" s="150" t="s">
        <v>240</v>
      </c>
    </row>
    <row r="39" spans="1:9">
      <c r="A39" s="150" t="s">
        <v>99</v>
      </c>
      <c r="B39" s="150"/>
      <c r="I39" s="150" t="s">
        <v>241</v>
      </c>
    </row>
    <row r="40" spans="1:9">
      <c r="A40" s="150" t="s">
        <v>100</v>
      </c>
      <c r="B40" s="150"/>
      <c r="I40" s="150" t="s">
        <v>242</v>
      </c>
    </row>
    <row r="41" spans="1:9">
      <c r="A41" s="150" t="s">
        <v>101</v>
      </c>
      <c r="B41" s="150"/>
      <c r="I41" s="150" t="s">
        <v>243</v>
      </c>
    </row>
    <row r="42" spans="1:9">
      <c r="A42" s="150" t="s">
        <v>521</v>
      </c>
      <c r="B42" s="150"/>
      <c r="I42" s="150" t="s">
        <v>244</v>
      </c>
    </row>
    <row r="43" spans="1:9">
      <c r="A43" s="150" t="s">
        <v>102</v>
      </c>
      <c r="B43" s="150"/>
      <c r="I43" s="150" t="s">
        <v>245</v>
      </c>
    </row>
    <row r="44" spans="1:9">
      <c r="A44" s="150" t="s">
        <v>103</v>
      </c>
      <c r="B44" s="150"/>
      <c r="I44" s="150" t="s">
        <v>246</v>
      </c>
    </row>
    <row r="45" spans="1:9">
      <c r="A45" s="150" t="s">
        <v>104</v>
      </c>
      <c r="B45" s="150"/>
      <c r="I45" s="150" t="s">
        <v>247</v>
      </c>
    </row>
    <row r="46" spans="1:9">
      <c r="A46" s="150" t="s">
        <v>248</v>
      </c>
      <c r="B46" s="150"/>
      <c r="I46" s="150" t="s">
        <v>249</v>
      </c>
    </row>
    <row r="47" spans="1:9">
      <c r="A47" s="150" t="s">
        <v>105</v>
      </c>
      <c r="B47" s="150"/>
      <c r="I47" s="150" t="s">
        <v>250</v>
      </c>
    </row>
    <row r="48" spans="1:9">
      <c r="A48" s="150" t="s">
        <v>99</v>
      </c>
      <c r="B48" s="150"/>
      <c r="I48" s="150" t="s">
        <v>251</v>
      </c>
    </row>
    <row r="49" spans="1:9">
      <c r="A49" s="150" t="s">
        <v>252</v>
      </c>
      <c r="B49" s="150" t="s">
        <v>252</v>
      </c>
      <c r="I49" s="150" t="s">
        <v>253</v>
      </c>
    </row>
    <row r="50" spans="1:9">
      <c r="A50" s="150" t="s">
        <v>106</v>
      </c>
      <c r="B50" s="150" t="s">
        <v>106</v>
      </c>
      <c r="I50" s="150" t="s">
        <v>254</v>
      </c>
    </row>
    <row r="51" spans="1:9">
      <c r="A51" s="150" t="s">
        <v>107</v>
      </c>
      <c r="B51" s="150" t="s">
        <v>107</v>
      </c>
      <c r="I51" s="150" t="s">
        <v>255</v>
      </c>
    </row>
    <row r="52" spans="1:9">
      <c r="A52" s="150" t="s">
        <v>108</v>
      </c>
      <c r="B52" s="150" t="s">
        <v>108</v>
      </c>
      <c r="I52" s="150" t="s">
        <v>256</v>
      </c>
    </row>
    <row r="53" spans="1:9">
      <c r="A53" s="150" t="s">
        <v>109</v>
      </c>
      <c r="B53" s="150" t="s">
        <v>109</v>
      </c>
      <c r="I53" s="150" t="s">
        <v>257</v>
      </c>
    </row>
    <row r="54" spans="1:9">
      <c r="A54" s="150" t="s">
        <v>522</v>
      </c>
      <c r="B54" s="150" t="s">
        <v>522</v>
      </c>
      <c r="I54" s="150" t="s">
        <v>258</v>
      </c>
    </row>
    <row r="55" spans="1:9">
      <c r="A55" s="150" t="s">
        <v>110</v>
      </c>
      <c r="B55" s="150" t="s">
        <v>110</v>
      </c>
      <c r="I55" s="150" t="s">
        <v>259</v>
      </c>
    </row>
    <row r="56" spans="1:9">
      <c r="A56" s="150" t="s">
        <v>111</v>
      </c>
      <c r="B56" s="150" t="s">
        <v>111</v>
      </c>
      <c r="I56" s="150" t="s">
        <v>260</v>
      </c>
    </row>
    <row r="57" spans="1:9">
      <c r="A57" s="150" t="s">
        <v>112</v>
      </c>
      <c r="B57" s="150" t="s">
        <v>112</v>
      </c>
      <c r="I57" s="150" t="s">
        <v>261</v>
      </c>
    </row>
    <row r="58" spans="1:9">
      <c r="A58" s="150" t="s">
        <v>262</v>
      </c>
      <c r="B58" s="150" t="s">
        <v>262</v>
      </c>
      <c r="I58" s="150" t="s">
        <v>263</v>
      </c>
    </row>
    <row r="59" spans="1:9">
      <c r="A59" s="150" t="s">
        <v>113</v>
      </c>
      <c r="B59" s="150" t="s">
        <v>113</v>
      </c>
      <c r="I59" s="150" t="s">
        <v>264</v>
      </c>
    </row>
    <row r="60" spans="1:9">
      <c r="A60" s="150" t="s">
        <v>114</v>
      </c>
      <c r="B60" s="150" t="s">
        <v>114</v>
      </c>
      <c r="I60" s="150" t="s">
        <v>265</v>
      </c>
    </row>
    <row r="61" spans="1:9">
      <c r="A61" s="150" t="s">
        <v>266</v>
      </c>
      <c r="B61" s="150" t="s">
        <v>266</v>
      </c>
      <c r="I61" s="150" t="s">
        <v>267</v>
      </c>
    </row>
    <row r="62" spans="1:9">
      <c r="A62" s="150" t="s">
        <v>115</v>
      </c>
      <c r="B62" s="150" t="s">
        <v>115</v>
      </c>
      <c r="I62" s="150" t="s">
        <v>268</v>
      </c>
    </row>
    <row r="63" spans="1:9">
      <c r="A63" s="150" t="s">
        <v>116</v>
      </c>
      <c r="B63" s="150" t="s">
        <v>116</v>
      </c>
      <c r="I63" s="150" t="s">
        <v>269</v>
      </c>
    </row>
    <row r="64" spans="1:9">
      <c r="A64" s="150" t="s">
        <v>117</v>
      </c>
      <c r="B64" s="150" t="s">
        <v>117</v>
      </c>
      <c r="I64" s="150" t="s">
        <v>270</v>
      </c>
    </row>
    <row r="65" spans="1:9">
      <c r="A65" s="150" t="s">
        <v>118</v>
      </c>
      <c r="B65" s="150" t="s">
        <v>118</v>
      </c>
      <c r="I65" s="150" t="s">
        <v>271</v>
      </c>
    </row>
    <row r="66" spans="1:9">
      <c r="A66" s="150" t="s">
        <v>107</v>
      </c>
      <c r="B66" s="150" t="s">
        <v>107</v>
      </c>
      <c r="I66" s="150" t="s">
        <v>272</v>
      </c>
    </row>
    <row r="67" spans="1:9">
      <c r="A67" s="150" t="s">
        <v>273</v>
      </c>
      <c r="B67" s="150" t="s">
        <v>273</v>
      </c>
      <c r="I67" s="150" t="s">
        <v>274</v>
      </c>
    </row>
    <row r="68" spans="1:9">
      <c r="A68" s="150" t="s">
        <v>119</v>
      </c>
      <c r="B68" s="150" t="s">
        <v>119</v>
      </c>
      <c r="I68" s="150" t="s">
        <v>275</v>
      </c>
    </row>
    <row r="69" spans="1:9">
      <c r="A69" s="150" t="s">
        <v>276</v>
      </c>
      <c r="B69" s="150" t="s">
        <v>276</v>
      </c>
      <c r="I69" s="150" t="s">
        <v>277</v>
      </c>
    </row>
    <row r="70" spans="1:9">
      <c r="A70" s="150" t="s">
        <v>278</v>
      </c>
      <c r="B70" s="150" t="s">
        <v>278</v>
      </c>
      <c r="I70" s="150" t="s">
        <v>279</v>
      </c>
    </row>
    <row r="71" spans="1:9">
      <c r="A71" s="150" t="s">
        <v>280</v>
      </c>
      <c r="B71" s="150" t="s">
        <v>280</v>
      </c>
      <c r="I71" s="150" t="s">
        <v>281</v>
      </c>
    </row>
    <row r="72" spans="1:9">
      <c r="A72" s="150" t="s">
        <v>282</v>
      </c>
      <c r="B72" s="150" t="s">
        <v>282</v>
      </c>
      <c r="I72" s="150" t="s">
        <v>283</v>
      </c>
    </row>
    <row r="73" spans="1:9">
      <c r="A73" s="150" t="s">
        <v>120</v>
      </c>
      <c r="B73" s="150" t="s">
        <v>120</v>
      </c>
      <c r="I73" s="150" t="s">
        <v>284</v>
      </c>
    </row>
    <row r="74" spans="1:9">
      <c r="A74" s="150" t="s">
        <v>121</v>
      </c>
      <c r="B74" s="150" t="s">
        <v>121</v>
      </c>
      <c r="I74" s="150" t="s">
        <v>285</v>
      </c>
    </row>
    <row r="75" spans="1:9">
      <c r="A75" s="150" t="s">
        <v>122</v>
      </c>
      <c r="B75" s="150" t="s">
        <v>122</v>
      </c>
      <c r="I75" s="150" t="s">
        <v>286</v>
      </c>
    </row>
    <row r="76" spans="1:9">
      <c r="A76" s="150" t="s">
        <v>287</v>
      </c>
      <c r="B76" s="150" t="s">
        <v>287</v>
      </c>
      <c r="I76" s="150" t="s">
        <v>288</v>
      </c>
    </row>
    <row r="77" spans="1:9">
      <c r="A77" s="150" t="s">
        <v>123</v>
      </c>
      <c r="B77" s="150" t="s">
        <v>123</v>
      </c>
      <c r="I77" s="150" t="s">
        <v>289</v>
      </c>
    </row>
    <row r="78" spans="1:9">
      <c r="A78" s="150" t="s">
        <v>124</v>
      </c>
      <c r="B78" s="150" t="s">
        <v>124</v>
      </c>
      <c r="I78" s="150" t="s">
        <v>290</v>
      </c>
    </row>
    <row r="79" spans="1:9">
      <c r="A79" s="150" t="s">
        <v>125</v>
      </c>
      <c r="B79" s="150" t="s">
        <v>125</v>
      </c>
      <c r="I79" s="150" t="s">
        <v>291</v>
      </c>
    </row>
    <row r="80" spans="1:9">
      <c r="A80" s="150" t="s">
        <v>292</v>
      </c>
      <c r="B80" s="150" t="s">
        <v>126</v>
      </c>
      <c r="I80" s="150" t="s">
        <v>293</v>
      </c>
    </row>
    <row r="81" spans="1:9">
      <c r="A81" s="150" t="s">
        <v>126</v>
      </c>
      <c r="B81" s="150" t="s">
        <v>127</v>
      </c>
      <c r="I81" s="150" t="s">
        <v>294</v>
      </c>
    </row>
    <row r="82" spans="1:9">
      <c r="A82" s="150" t="s">
        <v>127</v>
      </c>
      <c r="B82" s="150" t="s">
        <v>128</v>
      </c>
      <c r="I82" s="150" t="s">
        <v>295</v>
      </c>
    </row>
    <row r="83" spans="1:9">
      <c r="A83" s="150" t="s">
        <v>128</v>
      </c>
      <c r="B83" s="150" t="s">
        <v>405</v>
      </c>
      <c r="I83" s="150" t="s">
        <v>296</v>
      </c>
    </row>
    <row r="84" spans="1:9">
      <c r="A84" s="150" t="s">
        <v>108</v>
      </c>
      <c r="B84" s="150" t="s">
        <v>108</v>
      </c>
      <c r="I84" s="150" t="s">
        <v>297</v>
      </c>
    </row>
    <row r="85" spans="1:9">
      <c r="I85" s="150" t="s">
        <v>298</v>
      </c>
    </row>
    <row r="86" spans="1:9">
      <c r="I86" s="150" t="s">
        <v>299</v>
      </c>
    </row>
    <row r="87" spans="1:9">
      <c r="I87" s="150" t="s">
        <v>300</v>
      </c>
    </row>
    <row r="88" spans="1:9">
      <c r="I88" s="150" t="s">
        <v>301</v>
      </c>
    </row>
    <row r="89" spans="1:9">
      <c r="I89" s="150" t="s">
        <v>429</v>
      </c>
    </row>
    <row r="90" spans="1:9">
      <c r="I90" s="150" t="s">
        <v>430</v>
      </c>
    </row>
    <row r="91" spans="1:9">
      <c r="I91" s="150" t="s">
        <v>431</v>
      </c>
    </row>
    <row r="92" spans="1:9">
      <c r="I92" s="150" t="s">
        <v>432</v>
      </c>
    </row>
    <row r="93" spans="1:9">
      <c r="I93" s="150" t="s">
        <v>433</v>
      </c>
    </row>
    <row r="94" spans="1:9">
      <c r="I94" s="150" t="s">
        <v>302</v>
      </c>
    </row>
    <row r="95" spans="1:9">
      <c r="I95" s="150" t="s">
        <v>303</v>
      </c>
    </row>
    <row r="96" spans="1:9">
      <c r="I96" s="150" t="s">
        <v>304</v>
      </c>
    </row>
    <row r="97" spans="9:9">
      <c r="I97" s="150" t="s">
        <v>305</v>
      </c>
    </row>
    <row r="98" spans="9:9">
      <c r="I98" s="150" t="s">
        <v>306</v>
      </c>
    </row>
    <row r="99" spans="9:9">
      <c r="I99" s="150" t="s">
        <v>307</v>
      </c>
    </row>
    <row r="100" spans="9:9">
      <c r="I100" s="150" t="s">
        <v>308</v>
      </c>
    </row>
    <row r="101" spans="9:9">
      <c r="I101" s="150" t="s">
        <v>309</v>
      </c>
    </row>
    <row r="102" spans="9:9">
      <c r="I102" s="150" t="s">
        <v>434</v>
      </c>
    </row>
    <row r="103" spans="9:9">
      <c r="I103" s="150" t="s">
        <v>435</v>
      </c>
    </row>
    <row r="104" spans="9:9">
      <c r="I104" s="150" t="s">
        <v>436</v>
      </c>
    </row>
    <row r="105" spans="9:9">
      <c r="I105" s="150" t="s">
        <v>437</v>
      </c>
    </row>
    <row r="106" spans="9:9">
      <c r="I106" s="150" t="s">
        <v>310</v>
      </c>
    </row>
    <row r="107" spans="9:9">
      <c r="I107" s="150" t="s">
        <v>311</v>
      </c>
    </row>
    <row r="108" spans="9:9">
      <c r="I108" s="150" t="s">
        <v>312</v>
      </c>
    </row>
    <row r="109" spans="9:9">
      <c r="I109" s="150" t="s">
        <v>313</v>
      </c>
    </row>
    <row r="110" spans="9:9">
      <c r="I110" s="150" t="s">
        <v>314</v>
      </c>
    </row>
    <row r="111" spans="9:9">
      <c r="I111" s="150" t="s">
        <v>438</v>
      </c>
    </row>
    <row r="112" spans="9:9">
      <c r="I112" s="150" t="s">
        <v>439</v>
      </c>
    </row>
    <row r="113" spans="9:9">
      <c r="I113" s="150" t="s">
        <v>440</v>
      </c>
    </row>
    <row r="114" spans="9:9">
      <c r="I114" s="150" t="s">
        <v>441</v>
      </c>
    </row>
    <row r="115" spans="9:9">
      <c r="I115" s="150" t="s">
        <v>442</v>
      </c>
    </row>
    <row r="116" spans="9:9">
      <c r="I116" s="150" t="s">
        <v>443</v>
      </c>
    </row>
    <row r="117" spans="9:9">
      <c r="I117" s="150" t="s">
        <v>315</v>
      </c>
    </row>
    <row r="118" spans="9:9">
      <c r="I118" s="150" t="s">
        <v>316</v>
      </c>
    </row>
    <row r="119" spans="9:9">
      <c r="I119" s="150" t="s">
        <v>317</v>
      </c>
    </row>
    <row r="120" spans="9:9">
      <c r="I120" s="150" t="s">
        <v>318</v>
      </c>
    </row>
    <row r="121" spans="9:9">
      <c r="I121" s="150" t="s">
        <v>319</v>
      </c>
    </row>
    <row r="122" spans="9:9">
      <c r="I122" s="150" t="s">
        <v>320</v>
      </c>
    </row>
    <row r="123" spans="9:9">
      <c r="I123" s="150" t="s">
        <v>321</v>
      </c>
    </row>
    <row r="124" spans="9:9">
      <c r="I124" s="150" t="s">
        <v>322</v>
      </c>
    </row>
    <row r="125" spans="9:9">
      <c r="I125" s="150" t="s">
        <v>323</v>
      </c>
    </row>
    <row r="126" spans="9:9">
      <c r="I126" s="150" t="s">
        <v>324</v>
      </c>
    </row>
    <row r="127" spans="9:9">
      <c r="I127" s="150" t="s">
        <v>325</v>
      </c>
    </row>
    <row r="128" spans="9:9">
      <c r="I128" s="150" t="s">
        <v>326</v>
      </c>
    </row>
    <row r="129" spans="9:9">
      <c r="I129" s="150" t="s">
        <v>327</v>
      </c>
    </row>
    <row r="130" spans="9:9">
      <c r="I130" s="150" t="s">
        <v>328</v>
      </c>
    </row>
    <row r="131" spans="9:9">
      <c r="I131" s="150" t="s">
        <v>329</v>
      </c>
    </row>
    <row r="132" spans="9:9">
      <c r="I132" s="150" t="s">
        <v>330</v>
      </c>
    </row>
    <row r="133" spans="9:9">
      <c r="I133" s="150" t="s">
        <v>331</v>
      </c>
    </row>
    <row r="134" spans="9:9">
      <c r="I134" s="150" t="s">
        <v>332</v>
      </c>
    </row>
    <row r="135" spans="9:9">
      <c r="I135" s="150" t="s">
        <v>333</v>
      </c>
    </row>
    <row r="136" spans="9:9">
      <c r="I136" s="150" t="s">
        <v>334</v>
      </c>
    </row>
    <row r="137" spans="9:9">
      <c r="I137" s="150" t="s">
        <v>335</v>
      </c>
    </row>
    <row r="138" spans="9:9">
      <c r="I138" s="150" t="s">
        <v>336</v>
      </c>
    </row>
    <row r="139" spans="9:9">
      <c r="I139" s="150" t="s">
        <v>337</v>
      </c>
    </row>
    <row r="140" spans="9:9">
      <c r="I140" s="150" t="s">
        <v>338</v>
      </c>
    </row>
    <row r="141" spans="9:9">
      <c r="I141" s="150" t="s">
        <v>339</v>
      </c>
    </row>
    <row r="142" spans="9:9">
      <c r="I142" s="150" t="s">
        <v>340</v>
      </c>
    </row>
    <row r="143" spans="9:9">
      <c r="I143" s="150" t="s">
        <v>444</v>
      </c>
    </row>
    <row r="144" spans="9:9">
      <c r="I144" s="150" t="s">
        <v>341</v>
      </c>
    </row>
    <row r="145" spans="9:9">
      <c r="I145" s="150" t="s">
        <v>342</v>
      </c>
    </row>
    <row r="146" spans="9:9">
      <c r="I146" s="150" t="s">
        <v>343</v>
      </c>
    </row>
    <row r="147" spans="9:9">
      <c r="I147" s="150" t="s">
        <v>344</v>
      </c>
    </row>
    <row r="148" spans="9:9">
      <c r="I148" s="150" t="s">
        <v>445</v>
      </c>
    </row>
    <row r="149" spans="9:9">
      <c r="I149" s="150" t="s">
        <v>345</v>
      </c>
    </row>
    <row r="150" spans="9:9">
      <c r="I150" s="150" t="s">
        <v>346</v>
      </c>
    </row>
    <row r="151" spans="9:9">
      <c r="I151" s="150" t="s">
        <v>347</v>
      </c>
    </row>
    <row r="152" spans="9:9">
      <c r="I152" s="150" t="s">
        <v>348</v>
      </c>
    </row>
    <row r="153" spans="9:9">
      <c r="I153" s="150" t="s">
        <v>349</v>
      </c>
    </row>
    <row r="154" spans="9:9">
      <c r="I154" s="150" t="s">
        <v>350</v>
      </c>
    </row>
    <row r="155" spans="9:9">
      <c r="I155" s="150" t="s">
        <v>351</v>
      </c>
    </row>
    <row r="156" spans="9:9">
      <c r="I156" s="150" t="s">
        <v>352</v>
      </c>
    </row>
    <row r="157" spans="9:9">
      <c r="I157" s="150" t="s">
        <v>353</v>
      </c>
    </row>
    <row r="158" spans="9:9">
      <c r="I158" s="150" t="s">
        <v>354</v>
      </c>
    </row>
    <row r="159" spans="9:9">
      <c r="I159" s="150" t="s">
        <v>355</v>
      </c>
    </row>
    <row r="160" spans="9:9">
      <c r="I160" s="150" t="s">
        <v>356</v>
      </c>
    </row>
    <row r="161" spans="9:9">
      <c r="I161" s="150" t="s">
        <v>357</v>
      </c>
    </row>
    <row r="162" spans="9:9">
      <c r="I162" s="150" t="s">
        <v>358</v>
      </c>
    </row>
    <row r="163" spans="9:9">
      <c r="I163" s="150" t="s">
        <v>359</v>
      </c>
    </row>
    <row r="164" spans="9:9">
      <c r="I164" s="150" t="s">
        <v>360</v>
      </c>
    </row>
    <row r="165" spans="9:9">
      <c r="I165" s="150" t="s">
        <v>446</v>
      </c>
    </row>
    <row r="166" spans="9:9">
      <c r="I166" s="150" t="s">
        <v>447</v>
      </c>
    </row>
    <row r="167" spans="9:9">
      <c r="I167" s="150" t="s">
        <v>361</v>
      </c>
    </row>
    <row r="168" spans="9:9">
      <c r="I168" s="150" t="s">
        <v>362</v>
      </c>
    </row>
    <row r="169" spans="9:9">
      <c r="I169" s="150" t="s">
        <v>363</v>
      </c>
    </row>
    <row r="170" spans="9:9">
      <c r="I170" s="150" t="s">
        <v>364</v>
      </c>
    </row>
    <row r="171" spans="9:9">
      <c r="I171" s="150" t="s">
        <v>365</v>
      </c>
    </row>
    <row r="172" spans="9:9">
      <c r="I172" s="150" t="s">
        <v>448</v>
      </c>
    </row>
    <row r="173" spans="9:9">
      <c r="I173" s="150" t="s">
        <v>449</v>
      </c>
    </row>
    <row r="174" spans="9:9">
      <c r="I174" s="150" t="s">
        <v>450</v>
      </c>
    </row>
    <row r="175" spans="9:9">
      <c r="I175" s="150" t="s">
        <v>451</v>
      </c>
    </row>
    <row r="176" spans="9:9">
      <c r="I176" s="150" t="s">
        <v>366</v>
      </c>
    </row>
    <row r="177" spans="9:9">
      <c r="I177" s="150" t="s">
        <v>367</v>
      </c>
    </row>
    <row r="178" spans="9:9">
      <c r="I178" s="150" t="s">
        <v>452</v>
      </c>
    </row>
    <row r="179" spans="9:9">
      <c r="I179" s="150" t="s">
        <v>453</v>
      </c>
    </row>
    <row r="180" spans="9:9">
      <c r="I180" s="150" t="s">
        <v>368</v>
      </c>
    </row>
    <row r="181" spans="9:9">
      <c r="I181" s="150" t="s">
        <v>454</v>
      </c>
    </row>
    <row r="182" spans="9:9">
      <c r="I182" s="150" t="s">
        <v>455</v>
      </c>
    </row>
    <row r="183" spans="9:9">
      <c r="I183" s="150" t="s">
        <v>369</v>
      </c>
    </row>
    <row r="184" spans="9:9">
      <c r="I184" s="150" t="s">
        <v>456</v>
      </c>
    </row>
    <row r="185" spans="9:9">
      <c r="I185" s="150" t="s">
        <v>457</v>
      </c>
    </row>
    <row r="186" spans="9:9">
      <c r="I186" s="150" t="s">
        <v>458</v>
      </c>
    </row>
    <row r="187" spans="9:9">
      <c r="I187" s="150" t="s">
        <v>459</v>
      </c>
    </row>
    <row r="188" spans="9:9">
      <c r="I188" s="150" t="s">
        <v>370</v>
      </c>
    </row>
    <row r="189" spans="9:9">
      <c r="I189" s="150" t="s">
        <v>460</v>
      </c>
    </row>
    <row r="190" spans="9:9">
      <c r="I190" s="150" t="s">
        <v>461</v>
      </c>
    </row>
    <row r="191" spans="9:9">
      <c r="I191" s="150" t="s">
        <v>462</v>
      </c>
    </row>
    <row r="192" spans="9:9">
      <c r="I192" s="150" t="s">
        <v>463</v>
      </c>
    </row>
    <row r="193" spans="9:9">
      <c r="I193" s="150" t="s">
        <v>464</v>
      </c>
    </row>
    <row r="194" spans="9:9">
      <c r="I194" s="150" t="s">
        <v>465</v>
      </c>
    </row>
    <row r="195" spans="9:9">
      <c r="I195" s="150" t="s">
        <v>466</v>
      </c>
    </row>
    <row r="196" spans="9:9">
      <c r="I196" s="150" t="s">
        <v>524</v>
      </c>
    </row>
    <row r="197" spans="9:9">
      <c r="I197" s="150" t="s">
        <v>518</v>
      </c>
    </row>
    <row r="198" spans="9:9">
      <c r="I198" s="150" t="s">
        <v>467</v>
      </c>
    </row>
    <row r="199" spans="9:9">
      <c r="I199" s="150" t="s">
        <v>468</v>
      </c>
    </row>
    <row r="200" spans="9:9">
      <c r="I200" s="150" t="s">
        <v>535</v>
      </c>
    </row>
    <row r="201" spans="9:9">
      <c r="I201" s="150" t="s">
        <v>32</v>
      </c>
    </row>
    <row r="202" spans="9:9">
      <c r="I202" s="150" t="s">
        <v>469</v>
      </c>
    </row>
  </sheetData>
  <phoneticPr fontId="16" type="noConversion"/>
  <pageMargins left="0.78740157499999996" right="0.78740157499999996" top="0.984251969" bottom="0.98425196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99FF"/>
    <pageSetUpPr fitToPage="1"/>
  </sheetPr>
  <dimension ref="A1:M61"/>
  <sheetViews>
    <sheetView tabSelected="1" view="pageBreakPreview" zoomScale="90" zoomScaleNormal="100" zoomScaleSheetLayoutView="90" workbookViewId="0">
      <selection activeCell="D19" sqref="D19"/>
    </sheetView>
  </sheetViews>
  <sheetFormatPr defaultColWidth="11.42578125" defaultRowHeight="12.75"/>
  <cols>
    <col min="1" max="1" width="76.7109375" style="190" customWidth="1"/>
    <col min="2" max="13" width="9.7109375" style="190" customWidth="1"/>
    <col min="14" max="16384" width="11.42578125" style="190"/>
  </cols>
  <sheetData>
    <row r="1" spans="1:13" ht="15" customHeight="1"/>
    <row r="2" spans="1:13" ht="15" customHeight="1">
      <c r="A2" s="189"/>
    </row>
    <row r="3" spans="1:13" ht="15" customHeight="1" thickBot="1">
      <c r="A3" s="92" t="s">
        <v>47</v>
      </c>
      <c r="B3" s="93"/>
      <c r="C3" s="93"/>
      <c r="D3" s="93"/>
      <c r="E3" s="93"/>
      <c r="F3" s="93"/>
      <c r="G3" s="93"/>
      <c r="H3" s="93"/>
      <c r="I3" s="93"/>
      <c r="J3" s="93"/>
      <c r="K3" s="93"/>
      <c r="L3" s="93"/>
      <c r="M3" s="93"/>
    </row>
    <row r="4" spans="1:13" ht="15" customHeight="1" thickBot="1">
      <c r="A4" s="78"/>
      <c r="B4" s="576">
        <v>2014</v>
      </c>
      <c r="C4" s="577"/>
      <c r="D4" s="577"/>
      <c r="E4" s="578"/>
      <c r="F4" s="579">
        <v>2015</v>
      </c>
      <c r="G4" s="580"/>
      <c r="H4" s="580"/>
      <c r="I4" s="581"/>
      <c r="J4" s="582">
        <v>2016</v>
      </c>
      <c r="K4" s="583"/>
      <c r="L4" s="583"/>
      <c r="M4" s="583"/>
    </row>
    <row r="5" spans="1:13" ht="15" customHeight="1" thickBot="1">
      <c r="A5" s="191" t="s">
        <v>527</v>
      </c>
      <c r="B5" s="80" t="s">
        <v>510</v>
      </c>
      <c r="C5" s="80" t="s">
        <v>511</v>
      </c>
      <c r="D5" s="80" t="s">
        <v>513</v>
      </c>
      <c r="E5" s="81" t="s">
        <v>514</v>
      </c>
      <c r="F5" s="308" t="s">
        <v>510</v>
      </c>
      <c r="G5" s="308" t="s">
        <v>511</v>
      </c>
      <c r="H5" s="308" t="s">
        <v>513</v>
      </c>
      <c r="I5" s="309" t="s">
        <v>514</v>
      </c>
      <c r="J5" s="235" t="s">
        <v>510</v>
      </c>
      <c r="K5" s="235" t="s">
        <v>511</v>
      </c>
      <c r="L5" s="235" t="s">
        <v>513</v>
      </c>
      <c r="M5" s="235" t="s">
        <v>514</v>
      </c>
    </row>
    <row r="6" spans="1:13" ht="15" customHeight="1">
      <c r="A6" s="192" t="s">
        <v>61</v>
      </c>
      <c r="B6" s="69">
        <v>2571.2535209400003</v>
      </c>
      <c r="C6" s="69">
        <v>2718.73902172</v>
      </c>
      <c r="D6" s="69">
        <v>2878.6986172699999</v>
      </c>
      <c r="E6" s="69">
        <v>2778.7540862599999</v>
      </c>
      <c r="F6" s="156">
        <v>2792.3792608000003</v>
      </c>
      <c r="G6" s="156">
        <v>2894.1607662799997</v>
      </c>
      <c r="H6" s="156">
        <v>3024.2054343600012</v>
      </c>
      <c r="I6" s="156">
        <v>2832.8250753099983</v>
      </c>
      <c r="J6" s="472">
        <v>2830.8522988099999</v>
      </c>
      <c r="K6" s="472">
        <v>2792.0034477200002</v>
      </c>
      <c r="L6" s="472">
        <v>2891.8093718500095</v>
      </c>
      <c r="M6" s="472"/>
    </row>
    <row r="7" spans="1:13" ht="15" customHeight="1">
      <c r="A7" s="192" t="s">
        <v>140</v>
      </c>
      <c r="B7" s="69">
        <v>193.51845784000002</v>
      </c>
      <c r="C7" s="69">
        <v>206.04237308999998</v>
      </c>
      <c r="D7" s="69">
        <v>203.58383306000002</v>
      </c>
      <c r="E7" s="69">
        <v>205.91639171999998</v>
      </c>
      <c r="F7" s="156">
        <v>210.73835740999999</v>
      </c>
      <c r="G7" s="156">
        <v>214.91426575000003</v>
      </c>
      <c r="H7" s="156">
        <v>158.02461871999998</v>
      </c>
      <c r="I7" s="156">
        <v>160.86361797000006</v>
      </c>
      <c r="J7" s="472">
        <v>144.01525560000002</v>
      </c>
      <c r="K7" s="472">
        <v>156.04360507999999</v>
      </c>
      <c r="L7" s="472">
        <v>144.16981865999998</v>
      </c>
      <c r="M7" s="472"/>
    </row>
    <row r="8" spans="1:13" ht="18" customHeight="1">
      <c r="A8" s="193" t="s">
        <v>6</v>
      </c>
      <c r="B8" s="70">
        <v>2764.7719787800002</v>
      </c>
      <c r="C8" s="70">
        <v>2924.7813948099997</v>
      </c>
      <c r="D8" s="70">
        <v>3082.2824503300008</v>
      </c>
      <c r="E8" s="70">
        <v>2984.6704779800002</v>
      </c>
      <c r="F8" s="157">
        <v>3003.1176182100003</v>
      </c>
      <c r="G8" s="157">
        <v>3109.0750320299999</v>
      </c>
      <c r="H8" s="157">
        <v>3182.2300530800003</v>
      </c>
      <c r="I8" s="157">
        <v>2993.6886932799989</v>
      </c>
      <c r="J8" s="500">
        <v>2974.8675544099997</v>
      </c>
      <c r="K8" s="500">
        <v>2948.0470528000005</v>
      </c>
      <c r="L8" s="500">
        <v>3035.9791905100092</v>
      </c>
      <c r="M8" s="500"/>
    </row>
    <row r="9" spans="1:13" ht="15" customHeight="1">
      <c r="A9" s="192" t="s">
        <v>550</v>
      </c>
      <c r="B9" s="69">
        <v>332.57354534000001</v>
      </c>
      <c r="C9" s="69">
        <v>345.08405921999997</v>
      </c>
      <c r="D9" s="69">
        <v>349.08288475000018</v>
      </c>
      <c r="E9" s="69">
        <v>360.50431815999991</v>
      </c>
      <c r="F9" s="156">
        <v>299.38059307000003</v>
      </c>
      <c r="G9" s="156">
        <v>239.08243340999991</v>
      </c>
      <c r="H9" s="156">
        <v>204.70554623000021</v>
      </c>
      <c r="I9" s="156">
        <v>255.28906715999983</v>
      </c>
      <c r="J9" s="472">
        <v>250.84939518000002</v>
      </c>
      <c r="K9" s="472">
        <v>260.91811849999999</v>
      </c>
      <c r="L9" s="472">
        <v>284.73750361999998</v>
      </c>
      <c r="M9" s="472"/>
    </row>
    <row r="10" spans="1:13" ht="18" customHeight="1">
      <c r="A10" s="193" t="s">
        <v>60</v>
      </c>
      <c r="B10" s="71">
        <v>3097.3455241199999</v>
      </c>
      <c r="C10" s="71">
        <v>3269.8654540300004</v>
      </c>
      <c r="D10" s="71">
        <v>3431.3653350800014</v>
      </c>
      <c r="E10" s="71">
        <v>3345.1747961399997</v>
      </c>
      <c r="F10" s="158">
        <v>3302.4982112800003</v>
      </c>
      <c r="G10" s="158">
        <v>3348.1574654399997</v>
      </c>
      <c r="H10" s="158">
        <v>3386.9355993099998</v>
      </c>
      <c r="I10" s="158">
        <v>3248.9777604399987</v>
      </c>
      <c r="J10" s="475">
        <v>3225.7169495899998</v>
      </c>
      <c r="K10" s="475">
        <v>3208.9651713000003</v>
      </c>
      <c r="L10" s="475">
        <v>3320.7166941300093</v>
      </c>
      <c r="M10" s="475"/>
    </row>
    <row r="11" spans="1:13" ht="15" customHeight="1">
      <c r="A11" s="192" t="s">
        <v>136</v>
      </c>
      <c r="B11" s="72">
        <v>260.70217323999998</v>
      </c>
      <c r="C11" s="72">
        <v>292.16427876000012</v>
      </c>
      <c r="D11" s="72">
        <v>343.3502264199999</v>
      </c>
      <c r="E11" s="72">
        <v>386.20650465000006</v>
      </c>
      <c r="F11" s="159">
        <v>384.78442480199999</v>
      </c>
      <c r="G11" s="159">
        <v>444.16523643999994</v>
      </c>
      <c r="H11" s="159">
        <v>371.07372301199996</v>
      </c>
      <c r="I11" s="159">
        <v>594.94146947850004</v>
      </c>
      <c r="J11" s="476">
        <v>355.46332622133298</v>
      </c>
      <c r="K11" s="476">
        <v>521.9398338421671</v>
      </c>
      <c r="L11" s="476">
        <v>511.99632747800001</v>
      </c>
      <c r="M11" s="476"/>
    </row>
    <row r="12" spans="1:13" ht="18" customHeight="1">
      <c r="A12" s="194" t="s">
        <v>7</v>
      </c>
      <c r="B12" s="73">
        <v>3358.0476973599998</v>
      </c>
      <c r="C12" s="73">
        <v>3562.0297327900007</v>
      </c>
      <c r="D12" s="73">
        <v>3774.7155615000011</v>
      </c>
      <c r="E12" s="73">
        <v>3731.3813007900008</v>
      </c>
      <c r="F12" s="160">
        <v>3687.2826360820004</v>
      </c>
      <c r="G12" s="160">
        <v>3792.3227018799994</v>
      </c>
      <c r="H12" s="160">
        <v>3758.0093223220001</v>
      </c>
      <c r="I12" s="160">
        <v>3843.9192299184979</v>
      </c>
      <c r="J12" s="474">
        <v>3581.1802758113326</v>
      </c>
      <c r="K12" s="474">
        <v>3730.9050051421673</v>
      </c>
      <c r="L12" s="474">
        <v>3832.7130216080104</v>
      </c>
      <c r="M12" s="474"/>
    </row>
    <row r="13" spans="1:13" ht="15" customHeight="1">
      <c r="A13" s="195"/>
      <c r="B13" s="71"/>
      <c r="C13" s="71"/>
      <c r="D13" s="71"/>
      <c r="E13" s="71"/>
      <c r="F13" s="158"/>
      <c r="G13" s="158"/>
      <c r="H13" s="158"/>
      <c r="I13" s="158"/>
      <c r="J13" s="475"/>
      <c r="K13" s="475"/>
      <c r="L13" s="475"/>
      <c r="M13" s="475"/>
    </row>
    <row r="14" spans="1:13" ht="15" customHeight="1">
      <c r="A14" s="196" t="s">
        <v>57</v>
      </c>
      <c r="B14" s="69">
        <v>623.95827855999994</v>
      </c>
      <c r="C14" s="69">
        <v>619.34050275999982</v>
      </c>
      <c r="D14" s="69">
        <v>612.6064355900005</v>
      </c>
      <c r="E14" s="69">
        <v>589.58383045000005</v>
      </c>
      <c r="F14" s="156">
        <v>570.02165346000004</v>
      </c>
      <c r="G14" s="156">
        <v>544.07736418999991</v>
      </c>
      <c r="H14" s="156">
        <v>516.62223645999984</v>
      </c>
      <c r="I14" s="156">
        <v>508.56674452000061</v>
      </c>
      <c r="J14" s="472">
        <v>477.93196154000003</v>
      </c>
      <c r="K14" s="472">
        <v>465.37275659999995</v>
      </c>
      <c r="L14" s="472">
        <v>434.59287718999985</v>
      </c>
      <c r="M14" s="472"/>
    </row>
    <row r="15" spans="1:13" ht="15" customHeight="1">
      <c r="A15" s="196" t="s">
        <v>581</v>
      </c>
      <c r="B15" s="69">
        <v>1323.71213399</v>
      </c>
      <c r="C15" s="69">
        <v>1323.5412688400002</v>
      </c>
      <c r="D15" s="69">
        <v>1350.3963243399999</v>
      </c>
      <c r="E15" s="69">
        <v>1359.40362491</v>
      </c>
      <c r="F15" s="156">
        <v>1352.1200331900002</v>
      </c>
      <c r="G15" s="156">
        <v>1341.5217998299997</v>
      </c>
      <c r="H15" s="156">
        <v>1370.3489301899999</v>
      </c>
      <c r="I15" s="156">
        <v>1350.34275604</v>
      </c>
      <c r="J15" s="472">
        <v>1334.7348723900002</v>
      </c>
      <c r="K15" s="472">
        <v>1332.51991299</v>
      </c>
      <c r="L15" s="472">
        <v>1371.4689561499999</v>
      </c>
      <c r="M15" s="472"/>
    </row>
    <row r="16" spans="1:13" ht="15" customHeight="1">
      <c r="A16" s="196" t="s">
        <v>2</v>
      </c>
      <c r="B16" s="69">
        <v>111.63544193</v>
      </c>
      <c r="C16" s="69">
        <v>115.27304022</v>
      </c>
      <c r="D16" s="69">
        <v>118.75402450000001</v>
      </c>
      <c r="E16" s="69">
        <v>118.36588660999996</v>
      </c>
      <c r="F16" s="156">
        <v>129.71203553000001</v>
      </c>
      <c r="G16" s="156">
        <v>121.92142985999999</v>
      </c>
      <c r="H16" s="156">
        <v>126.61913135</v>
      </c>
      <c r="I16" s="156">
        <v>128.14995459999994</v>
      </c>
      <c r="J16" s="472">
        <v>126.95146433000001</v>
      </c>
      <c r="K16" s="472">
        <v>126.22431276000002</v>
      </c>
      <c r="L16" s="472">
        <v>123.22030559999999</v>
      </c>
      <c r="M16" s="472"/>
    </row>
    <row r="17" spans="1:13" ht="15" customHeight="1">
      <c r="A17" s="196" t="s">
        <v>3</v>
      </c>
      <c r="B17" s="69">
        <v>396.39869522162496</v>
      </c>
      <c r="C17" s="69">
        <v>416.86439580104309</v>
      </c>
      <c r="D17" s="69">
        <v>380.24969976225179</v>
      </c>
      <c r="E17" s="69">
        <v>459.70709142956002</v>
      </c>
      <c r="F17" s="156">
        <v>432.51461904029003</v>
      </c>
      <c r="G17" s="156">
        <v>397.3990835039869</v>
      </c>
      <c r="H17" s="156">
        <v>406.56086459973312</v>
      </c>
      <c r="I17" s="156">
        <v>461.18078839005989</v>
      </c>
      <c r="J17" s="472">
        <v>420.15601731056705</v>
      </c>
      <c r="K17" s="472">
        <v>450.22925241224885</v>
      </c>
      <c r="L17" s="472">
        <v>385.24882065518398</v>
      </c>
      <c r="M17" s="472"/>
    </row>
    <row r="18" spans="1:13" ht="18" customHeight="1">
      <c r="A18" s="197" t="s">
        <v>4</v>
      </c>
      <c r="B18" s="73">
        <v>2455.7045497016252</v>
      </c>
      <c r="C18" s="73">
        <v>2475.0192076210424</v>
      </c>
      <c r="D18" s="73">
        <v>2462.0064841922531</v>
      </c>
      <c r="E18" s="73">
        <v>2527.0604333995598</v>
      </c>
      <c r="F18" s="160">
        <v>2484.3683412202904</v>
      </c>
      <c r="G18" s="160">
        <v>2404.9196773839863</v>
      </c>
      <c r="H18" s="160">
        <v>2420.1511625997337</v>
      </c>
      <c r="I18" s="160">
        <v>2448.2402435500608</v>
      </c>
      <c r="J18" s="474">
        <v>2359.7743155705671</v>
      </c>
      <c r="K18" s="474">
        <v>2374.3462347622494</v>
      </c>
      <c r="L18" s="474">
        <v>2314.530959595184</v>
      </c>
      <c r="M18" s="474"/>
    </row>
    <row r="19" spans="1:13" ht="15" customHeight="1">
      <c r="A19" s="196" t="s">
        <v>5</v>
      </c>
      <c r="B19" s="77">
        <v>462.53641536000003</v>
      </c>
      <c r="C19" s="77">
        <v>466.69200775999997</v>
      </c>
      <c r="D19" s="77">
        <v>438.52059544999986</v>
      </c>
      <c r="E19" s="77">
        <v>471.90538347999995</v>
      </c>
      <c r="F19" s="163">
        <v>452.35545476999994</v>
      </c>
      <c r="G19" s="163">
        <v>407.92333855000015</v>
      </c>
      <c r="H19" s="163">
        <v>415.71119383000007</v>
      </c>
      <c r="I19" s="163">
        <v>426.62285064999969</v>
      </c>
      <c r="J19" s="502">
        <v>389.18532087</v>
      </c>
      <c r="K19" s="502">
        <v>383.96541789999998</v>
      </c>
      <c r="L19" s="502">
        <v>367.34044653000012</v>
      </c>
      <c r="M19" s="502"/>
    </row>
    <row r="20" spans="1:13" ht="18" customHeight="1">
      <c r="A20" s="501" t="s">
        <v>556</v>
      </c>
      <c r="B20" s="70">
        <v>2918.240965061625</v>
      </c>
      <c r="C20" s="70">
        <v>2941.7112153810426</v>
      </c>
      <c r="D20" s="70">
        <v>2900.5270796422537</v>
      </c>
      <c r="E20" s="70">
        <v>2998.9658168795595</v>
      </c>
      <c r="F20" s="157">
        <v>2936.7237959902905</v>
      </c>
      <c r="G20" s="157">
        <v>2812.843015933986</v>
      </c>
      <c r="H20" s="157">
        <v>2835.8623564297341</v>
      </c>
      <c r="I20" s="157">
        <v>2874.86309420006</v>
      </c>
      <c r="J20" s="500">
        <v>2748.959636440567</v>
      </c>
      <c r="K20" s="500">
        <v>2758.3116526622498</v>
      </c>
      <c r="L20" s="500">
        <v>2681.871406125184</v>
      </c>
      <c r="M20" s="500"/>
    </row>
    <row r="21" spans="1:13" ht="18" customHeight="1">
      <c r="A21" s="194" t="s">
        <v>702</v>
      </c>
      <c r="B21" s="73">
        <v>6276.2886624216244</v>
      </c>
      <c r="C21" s="73">
        <v>6503.7409481710438</v>
      </c>
      <c r="D21" s="73">
        <v>6675.2426411422566</v>
      </c>
      <c r="E21" s="73">
        <v>6730.3471176695602</v>
      </c>
      <c r="F21" s="160">
        <v>6624.0064320722904</v>
      </c>
      <c r="G21" s="160">
        <v>6605.1657178139849</v>
      </c>
      <c r="H21" s="160">
        <v>6593.8716787517333</v>
      </c>
      <c r="I21" s="160">
        <v>6718.7823241185615</v>
      </c>
      <c r="J21" s="474">
        <v>6330.1399122518997</v>
      </c>
      <c r="K21" s="474">
        <v>6489.2166578044162</v>
      </c>
      <c r="L21" s="474">
        <v>6514.5844277331962</v>
      </c>
      <c r="M21" s="474"/>
    </row>
    <row r="22" spans="1:13" ht="18" customHeight="1">
      <c r="A22" s="503" t="s">
        <v>386</v>
      </c>
      <c r="B22" s="69">
        <v>77.726515937874993</v>
      </c>
      <c r="C22" s="69">
        <v>84.72625975148101</v>
      </c>
      <c r="D22" s="69">
        <v>89.709741548703988</v>
      </c>
      <c r="E22" s="69">
        <v>87.813021684899979</v>
      </c>
      <c r="F22" s="156">
        <v>73.447564900619994</v>
      </c>
      <c r="G22" s="156">
        <v>82.895051257547976</v>
      </c>
      <c r="H22" s="156">
        <v>64.817707935740032</v>
      </c>
      <c r="I22" s="156">
        <v>81.200396956277018</v>
      </c>
      <c r="J22" s="472">
        <v>75.369342629076996</v>
      </c>
      <c r="K22" s="472">
        <v>83.734227418794987</v>
      </c>
      <c r="L22" s="472">
        <v>73.579809455884003</v>
      </c>
      <c r="M22" s="472"/>
    </row>
    <row r="23" spans="1:13" ht="15" customHeight="1">
      <c r="A23" s="198"/>
      <c r="B23" s="264"/>
      <c r="C23" s="264"/>
      <c r="D23" s="264"/>
      <c r="E23" s="264"/>
      <c r="F23" s="202"/>
      <c r="G23" s="202"/>
      <c r="H23" s="202"/>
      <c r="I23" s="202"/>
      <c r="J23" s="473"/>
      <c r="K23" s="473"/>
      <c r="L23" s="473"/>
      <c r="M23" s="473"/>
    </row>
    <row r="24" spans="1:13" ht="18" customHeight="1">
      <c r="A24" s="195" t="s">
        <v>478</v>
      </c>
      <c r="B24" s="265">
        <v>2658.0545684097601</v>
      </c>
      <c r="C24" s="265">
        <v>2783.386336126659</v>
      </c>
      <c r="D24" s="265">
        <v>3066.5711659705794</v>
      </c>
      <c r="E24" s="266">
        <v>2746.8928517957029</v>
      </c>
      <c r="F24" s="203">
        <v>2792.3675030443301</v>
      </c>
      <c r="G24" s="203">
        <v>2723.2419486013305</v>
      </c>
      <c r="H24" s="203">
        <v>2954.7458086841789</v>
      </c>
      <c r="I24" s="203">
        <v>2617.413490481862</v>
      </c>
      <c r="J24" s="477">
        <v>2772.37299165283</v>
      </c>
      <c r="K24" s="477">
        <v>2633.8477473447301</v>
      </c>
      <c r="L24" s="477">
        <v>2910.1775787990291</v>
      </c>
      <c r="M24" s="478"/>
    </row>
    <row r="25" spans="1:13" ht="15" customHeight="1">
      <c r="A25" s="192" t="s">
        <v>477</v>
      </c>
      <c r="B25" s="267">
        <v>-298.21814086000006</v>
      </c>
      <c r="C25" s="267">
        <v>-38.916066719999947</v>
      </c>
      <c r="D25" s="267">
        <v>-8.6861166599999819</v>
      </c>
      <c r="E25" s="268">
        <v>-46.940028890000008</v>
      </c>
      <c r="F25" s="204">
        <v>-31.72472101</v>
      </c>
      <c r="G25" s="204">
        <v>-59.384698041200011</v>
      </c>
      <c r="H25" s="204">
        <v>-159.22781153499997</v>
      </c>
      <c r="I25" s="204">
        <v>-41.004766171400007</v>
      </c>
      <c r="J25" s="479">
        <v>-77.140297020000006</v>
      </c>
      <c r="K25" s="479">
        <v>-37.796297339999981</v>
      </c>
      <c r="L25" s="479">
        <v>-35.447584170000027</v>
      </c>
      <c r="M25" s="480"/>
    </row>
    <row r="26" spans="1:13" ht="18" customHeight="1">
      <c r="A26" s="195" t="s">
        <v>535</v>
      </c>
      <c r="B26" s="265">
        <v>2359.8364275497602</v>
      </c>
      <c r="C26" s="265">
        <v>2744.4702694066586</v>
      </c>
      <c r="D26" s="265">
        <v>3057.8850493105801</v>
      </c>
      <c r="E26" s="266">
        <v>2699.9528229057032</v>
      </c>
      <c r="F26" s="203">
        <v>2760.6427820343301</v>
      </c>
      <c r="G26" s="203">
        <v>2663.8572505601301</v>
      </c>
      <c r="H26" s="203">
        <v>2795.5179971491798</v>
      </c>
      <c r="I26" s="203">
        <v>2576.4087243104623</v>
      </c>
      <c r="J26" s="477">
        <v>2695.2326946328299</v>
      </c>
      <c r="K26" s="477">
        <v>2596.0514500047307</v>
      </c>
      <c r="L26" s="477">
        <v>2874.7299946290286</v>
      </c>
      <c r="M26" s="478"/>
    </row>
    <row r="27" spans="1:13" ht="15" customHeight="1">
      <c r="A27" s="192" t="s">
        <v>143</v>
      </c>
      <c r="B27" s="267">
        <v>-844.10535341655395</v>
      </c>
      <c r="C27" s="267">
        <v>-822.80970925049587</v>
      </c>
      <c r="D27" s="267">
        <v>-863.38105387220048</v>
      </c>
      <c r="E27" s="268">
        <v>-892.65988034042994</v>
      </c>
      <c r="F27" s="204">
        <v>-877.80224719495698</v>
      </c>
      <c r="G27" s="204">
        <v>-888.70061497559311</v>
      </c>
      <c r="H27" s="204">
        <v>-895.47256639453008</v>
      </c>
      <c r="I27" s="204">
        <v>-903.34311599100965</v>
      </c>
      <c r="J27" s="479">
        <v>-923.07257717425296</v>
      </c>
      <c r="K27" s="479">
        <v>-914.56726738399698</v>
      </c>
      <c r="L27" s="479">
        <v>-952.52300102139998</v>
      </c>
      <c r="M27" s="480"/>
    </row>
    <row r="28" spans="1:13" ht="15" customHeight="1">
      <c r="A28" s="199" t="s">
        <v>43</v>
      </c>
      <c r="B28" s="268">
        <v>-8.7751659999999987</v>
      </c>
      <c r="C28" s="267">
        <v>0</v>
      </c>
      <c r="D28" s="268">
        <v>0</v>
      </c>
      <c r="E28" s="268">
        <v>0</v>
      </c>
      <c r="F28" s="205">
        <v>-13.554500000000001</v>
      </c>
      <c r="G28" s="205">
        <v>0</v>
      </c>
      <c r="H28" s="205">
        <v>0</v>
      </c>
      <c r="I28" s="205">
        <v>0</v>
      </c>
      <c r="J28" s="479">
        <v>0</v>
      </c>
      <c r="K28" s="479">
        <v>0</v>
      </c>
      <c r="L28" s="479">
        <v>0</v>
      </c>
      <c r="M28" s="480"/>
    </row>
    <row r="29" spans="1:13" ht="18" customHeight="1">
      <c r="A29" s="193" t="s">
        <v>534</v>
      </c>
      <c r="B29" s="269">
        <v>1506.9559081332063</v>
      </c>
      <c r="C29" s="269">
        <v>1921.6605900961627</v>
      </c>
      <c r="D29" s="269">
        <v>2194.4162554383797</v>
      </c>
      <c r="E29" s="269">
        <v>1806.9438668352732</v>
      </c>
      <c r="F29" s="206">
        <v>1869.2860348393731</v>
      </c>
      <c r="G29" s="206">
        <v>1775.156014644537</v>
      </c>
      <c r="H29" s="206">
        <v>1900.0454308046506</v>
      </c>
      <c r="I29" s="206">
        <v>1673.0656083194517</v>
      </c>
      <c r="J29" s="481">
        <v>1772.1601174585769</v>
      </c>
      <c r="K29" s="481">
        <v>1681.4841826207337</v>
      </c>
      <c r="L29" s="481">
        <v>1922.2069936076286</v>
      </c>
      <c r="M29" s="481"/>
    </row>
    <row r="30" spans="1:13" ht="15" customHeight="1">
      <c r="A30" s="95"/>
      <c r="B30" s="270"/>
      <c r="C30" s="270"/>
      <c r="D30" s="270"/>
      <c r="E30" s="270"/>
      <c r="F30" s="207"/>
      <c r="G30" s="207"/>
      <c r="H30" s="207"/>
      <c r="I30" s="207"/>
      <c r="J30" s="482"/>
      <c r="K30" s="482"/>
      <c r="L30" s="482"/>
      <c r="M30" s="482"/>
    </row>
    <row r="31" spans="1:13" ht="15" customHeight="1">
      <c r="A31" s="192" t="s">
        <v>479</v>
      </c>
      <c r="B31" s="271">
        <v>42.350738013764087</v>
      </c>
      <c r="C31" s="271">
        <v>42.796697443944041</v>
      </c>
      <c r="D31" s="271">
        <v>45.939471129784017</v>
      </c>
      <c r="E31" s="271">
        <v>40.813539090489556</v>
      </c>
      <c r="F31" s="208">
        <v>42.155265573477877</v>
      </c>
      <c r="G31" s="208">
        <v>41.228972367139974</v>
      </c>
      <c r="H31" s="208">
        <v>44.810483925637044</v>
      </c>
      <c r="I31" s="208">
        <v>38.956664529613874</v>
      </c>
      <c r="J31" s="483">
        <v>43.796393603985592</v>
      </c>
      <c r="K31" s="483">
        <v>40.58806919594938</v>
      </c>
      <c r="L31" s="483">
        <v>44.671730193719348</v>
      </c>
      <c r="M31" s="483"/>
    </row>
    <row r="32" spans="1:13" ht="15" customHeight="1">
      <c r="A32" s="196" t="s">
        <v>62</v>
      </c>
      <c r="B32" s="271">
        <v>37.599233471827723</v>
      </c>
      <c r="C32" s="271">
        <v>42.198333102096377</v>
      </c>
      <c r="D32" s="271">
        <v>45.809346771360502</v>
      </c>
      <c r="E32" s="271">
        <v>40.116100636434702</v>
      </c>
      <c r="F32" s="208">
        <v>41.676330032950702</v>
      </c>
      <c r="G32" s="208">
        <v>40.329907898839942</v>
      </c>
      <c r="H32" s="208">
        <v>42.395699117978459</v>
      </c>
      <c r="I32" s="208">
        <v>38.346363969284596</v>
      </c>
      <c r="J32" s="483">
        <v>42.577774456710564</v>
      </c>
      <c r="K32" s="483">
        <v>40.005621431710495</v>
      </c>
      <c r="L32" s="483">
        <v>44.127603633334367</v>
      </c>
      <c r="M32" s="483"/>
    </row>
    <row r="33" spans="1:13" ht="15" customHeight="1">
      <c r="A33" s="196" t="s">
        <v>63</v>
      </c>
      <c r="B33" s="271">
        <v>24.010302731228535</v>
      </c>
      <c r="C33" s="271">
        <v>29.547003876846667</v>
      </c>
      <c r="D33" s="271">
        <v>32.873954901853196</v>
      </c>
      <c r="E33" s="271">
        <v>26.847706890056255</v>
      </c>
      <c r="F33" s="208">
        <v>28.219870466740705</v>
      </c>
      <c r="G33" s="208">
        <v>26.875268395719136</v>
      </c>
      <c r="H33" s="208">
        <v>28.815323126887765</v>
      </c>
      <c r="I33" s="208">
        <v>24.901321811150378</v>
      </c>
      <c r="J33" s="483">
        <v>27.995591598672014</v>
      </c>
      <c r="K33" s="483">
        <v>25.911974761983874</v>
      </c>
      <c r="L33" s="483">
        <v>29.506210487112781</v>
      </c>
      <c r="M33" s="483"/>
    </row>
    <row r="34" spans="1:13" ht="15" customHeight="1">
      <c r="A34" s="196"/>
      <c r="B34" s="272"/>
      <c r="C34" s="272"/>
      <c r="D34" s="272"/>
      <c r="E34" s="272"/>
      <c r="F34" s="209"/>
      <c r="G34" s="209"/>
      <c r="H34" s="209"/>
      <c r="I34" s="209"/>
      <c r="J34" s="484"/>
      <c r="K34" s="484"/>
      <c r="L34" s="484"/>
      <c r="M34" s="484"/>
    </row>
    <row r="35" spans="1:13" ht="15" customHeight="1">
      <c r="A35" s="196" t="s">
        <v>64</v>
      </c>
      <c r="B35" s="270">
        <v>1048.15260747</v>
      </c>
      <c r="C35" s="270">
        <v>991.47364077167003</v>
      </c>
      <c r="D35" s="273">
        <v>988.49029983458968</v>
      </c>
      <c r="E35" s="273">
        <v>1181.6686657225796</v>
      </c>
      <c r="F35" s="207">
        <v>847.62532724000005</v>
      </c>
      <c r="G35" s="207">
        <v>1039.2030585299999</v>
      </c>
      <c r="H35" s="207">
        <v>1009.44351755</v>
      </c>
      <c r="I35" s="207">
        <v>1947.9415450200004</v>
      </c>
      <c r="J35" s="482">
        <v>908.23166499100012</v>
      </c>
      <c r="K35" s="482">
        <v>1183.9512341299999</v>
      </c>
      <c r="L35" s="482">
        <v>1182.49290737</v>
      </c>
      <c r="M35" s="485"/>
    </row>
    <row r="36" spans="1:13" ht="15" customHeight="1">
      <c r="A36" s="196" t="s">
        <v>0</v>
      </c>
      <c r="B36" s="69">
        <v>0</v>
      </c>
      <c r="C36" s="69">
        <v>0</v>
      </c>
      <c r="D36" s="69">
        <v>10.36</v>
      </c>
      <c r="E36" s="69">
        <v>-1.8099999999999987</v>
      </c>
      <c r="F36" s="156">
        <v>0</v>
      </c>
      <c r="G36" s="156">
        <v>0</v>
      </c>
      <c r="H36" s="156">
        <v>0</v>
      </c>
      <c r="I36" s="156">
        <v>0</v>
      </c>
      <c r="J36" s="472">
        <v>0</v>
      </c>
      <c r="K36" s="480">
        <v>100</v>
      </c>
      <c r="L36" s="480">
        <v>0</v>
      </c>
      <c r="M36" s="486"/>
    </row>
    <row r="37" spans="1:13" ht="15" customHeight="1">
      <c r="A37" s="196" t="s">
        <v>480</v>
      </c>
      <c r="B37" s="270">
        <v>1048.15260747</v>
      </c>
      <c r="C37" s="270">
        <v>991.47364077167003</v>
      </c>
      <c r="D37" s="270">
        <v>988.49029983458968</v>
      </c>
      <c r="E37" s="270">
        <v>1181.6686657225796</v>
      </c>
      <c r="F37" s="207">
        <v>847.62532724000005</v>
      </c>
      <c r="G37" s="207">
        <v>1039.2030585299999</v>
      </c>
      <c r="H37" s="207">
        <v>1009.44351755</v>
      </c>
      <c r="I37" s="207">
        <v>1362.6195450200003</v>
      </c>
      <c r="J37" s="472">
        <v>889.23166499100012</v>
      </c>
      <c r="K37" s="472">
        <v>1183.9512341299999</v>
      </c>
      <c r="L37" s="472">
        <v>1182.49290737</v>
      </c>
      <c r="M37" s="472"/>
    </row>
    <row r="38" spans="1:13" ht="15" customHeight="1">
      <c r="A38" s="196"/>
      <c r="B38" s="270"/>
      <c r="C38" s="270"/>
      <c r="D38" s="273"/>
      <c r="E38" s="273"/>
      <c r="F38" s="207"/>
      <c r="G38" s="207"/>
      <c r="H38" s="207"/>
      <c r="I38" s="207"/>
      <c r="J38" s="482"/>
      <c r="K38" s="482"/>
      <c r="L38" s="482"/>
      <c r="M38" s="485"/>
    </row>
    <row r="39" spans="1:13" ht="15" customHeight="1">
      <c r="A39" s="200" t="s">
        <v>139</v>
      </c>
      <c r="B39" s="274"/>
      <c r="C39" s="274"/>
      <c r="D39" s="274"/>
      <c r="E39" s="274"/>
      <c r="F39" s="210"/>
      <c r="G39" s="210"/>
      <c r="H39" s="210"/>
      <c r="I39" s="210"/>
      <c r="J39" s="487"/>
      <c r="K39" s="487"/>
      <c r="L39" s="487"/>
      <c r="M39" s="487"/>
    </row>
    <row r="40" spans="1:13" ht="15" customHeight="1">
      <c r="A40" s="192" t="s">
        <v>373</v>
      </c>
      <c r="B40" s="275">
        <v>3216.846</v>
      </c>
      <c r="C40" s="275">
        <v>3204.5</v>
      </c>
      <c r="D40" s="275">
        <v>3215.0810000000001</v>
      </c>
      <c r="E40" s="275">
        <v>3218.27</v>
      </c>
      <c r="F40" s="211">
        <v>3208.7159999999999</v>
      </c>
      <c r="G40" s="211">
        <v>3214.8229999999999</v>
      </c>
      <c r="H40" s="211">
        <v>3190.4810000000002</v>
      </c>
      <c r="I40" s="211">
        <v>3162.913</v>
      </c>
      <c r="J40" s="488">
        <v>3128.8</v>
      </c>
      <c r="K40" s="488">
        <v>3105.0790000000002</v>
      </c>
      <c r="L40" s="488">
        <v>3081.1750000000002</v>
      </c>
      <c r="M40" s="488"/>
    </row>
    <row r="41" spans="1:13" ht="15" customHeight="1">
      <c r="A41" s="192" t="s">
        <v>376</v>
      </c>
      <c r="B41" s="275">
        <v>615</v>
      </c>
      <c r="C41" s="275">
        <v>610</v>
      </c>
      <c r="D41" s="275">
        <v>601.07100000000003</v>
      </c>
      <c r="E41" s="275">
        <v>568.83199999999999</v>
      </c>
      <c r="F41" s="211">
        <v>524.56899999999996</v>
      </c>
      <c r="G41" s="211">
        <v>503.10599999999999</v>
      </c>
      <c r="H41" s="211">
        <v>485.09399999999999</v>
      </c>
      <c r="I41" s="211">
        <v>465.904</v>
      </c>
      <c r="J41" s="488">
        <v>447.875</v>
      </c>
      <c r="K41" s="488">
        <v>427.05599999999998</v>
      </c>
      <c r="L41" s="488">
        <v>403.75900000000001</v>
      </c>
      <c r="M41" s="488"/>
    </row>
    <row r="42" spans="1:13" ht="15" customHeight="1">
      <c r="A42" s="192" t="s">
        <v>374</v>
      </c>
      <c r="B42" s="276">
        <v>259</v>
      </c>
      <c r="C42" s="276">
        <v>267</v>
      </c>
      <c r="D42" s="276">
        <v>259.72995453979098</v>
      </c>
      <c r="E42" s="275">
        <v>271.24487153228802</v>
      </c>
      <c r="F42" s="212">
        <v>276.88422952304899</v>
      </c>
      <c r="G42" s="212">
        <v>287.47820027582401</v>
      </c>
      <c r="H42" s="212">
        <v>276.61173264461502</v>
      </c>
      <c r="I42" s="212">
        <v>284.96949662682601</v>
      </c>
      <c r="J42" s="489">
        <v>284.46398187009902</v>
      </c>
      <c r="K42" s="489">
        <v>319.18443418921999</v>
      </c>
      <c r="L42" s="489">
        <v>258.13764939561798</v>
      </c>
      <c r="M42" s="488"/>
    </row>
    <row r="43" spans="1:13" ht="15" customHeight="1">
      <c r="A43" s="192" t="s">
        <v>375</v>
      </c>
      <c r="B43" s="275">
        <v>287</v>
      </c>
      <c r="C43" s="275">
        <v>304</v>
      </c>
      <c r="D43" s="275">
        <v>320.2</v>
      </c>
      <c r="E43" s="275">
        <v>308.89999999999998</v>
      </c>
      <c r="F43" s="211">
        <v>311.5</v>
      </c>
      <c r="G43" s="211">
        <v>322.60000000000002</v>
      </c>
      <c r="H43" s="211">
        <v>331.3</v>
      </c>
      <c r="I43" s="211">
        <v>314.3</v>
      </c>
      <c r="J43" s="488">
        <v>315.3</v>
      </c>
      <c r="K43" s="488">
        <v>315.2</v>
      </c>
      <c r="L43" s="488">
        <v>327.39999999999998</v>
      </c>
      <c r="M43" s="488"/>
    </row>
    <row r="44" spans="1:13" ht="15" customHeight="1">
      <c r="A44" s="192" t="s">
        <v>377</v>
      </c>
      <c r="B44" s="275">
        <v>341</v>
      </c>
      <c r="C44" s="275">
        <v>361</v>
      </c>
      <c r="D44" s="275">
        <v>377.5</v>
      </c>
      <c r="E44" s="275">
        <v>365.2</v>
      </c>
      <c r="F44" s="211">
        <v>363.5</v>
      </c>
      <c r="G44" s="211">
        <v>371.4</v>
      </c>
      <c r="H44" s="211">
        <v>379.3</v>
      </c>
      <c r="I44" s="211">
        <v>359</v>
      </c>
      <c r="J44" s="488">
        <v>359.2</v>
      </c>
      <c r="K44" s="488">
        <v>356.8</v>
      </c>
      <c r="L44" s="488">
        <v>367.1</v>
      </c>
      <c r="M44" s="488"/>
    </row>
    <row r="45" spans="1:13" ht="15" customHeight="1">
      <c r="A45" s="192" t="s">
        <v>376</v>
      </c>
      <c r="B45" s="275">
        <v>59</v>
      </c>
      <c r="C45" s="275">
        <v>61</v>
      </c>
      <c r="D45" s="275">
        <v>63</v>
      </c>
      <c r="E45" s="275">
        <v>52.4</v>
      </c>
      <c r="F45" s="211">
        <v>56.8</v>
      </c>
      <c r="G45" s="211">
        <v>62.9</v>
      </c>
      <c r="H45" s="211">
        <v>64</v>
      </c>
      <c r="I45" s="211">
        <v>57.8</v>
      </c>
      <c r="J45" s="488">
        <v>54.4</v>
      </c>
      <c r="K45" s="488">
        <v>59.4</v>
      </c>
      <c r="L45" s="488">
        <v>64.599999999999994</v>
      </c>
      <c r="M45" s="488"/>
    </row>
    <row r="46" spans="1:13" ht="15" customHeight="1">
      <c r="A46" s="196"/>
      <c r="B46" s="264"/>
      <c r="C46" s="264"/>
      <c r="D46" s="277"/>
      <c r="E46" s="277"/>
      <c r="F46" s="202"/>
      <c r="G46" s="202"/>
      <c r="H46" s="202"/>
      <c r="I46" s="202"/>
      <c r="J46" s="473"/>
      <c r="K46" s="473"/>
      <c r="L46" s="473"/>
      <c r="M46" s="490"/>
    </row>
    <row r="47" spans="1:13" ht="15" customHeight="1">
      <c r="A47" s="200" t="s">
        <v>515</v>
      </c>
      <c r="B47" s="278"/>
      <c r="C47" s="278"/>
      <c r="D47" s="278"/>
      <c r="E47" s="278"/>
      <c r="F47" s="213"/>
      <c r="G47" s="213"/>
      <c r="H47" s="213"/>
      <c r="I47" s="213"/>
      <c r="J47" s="491"/>
      <c r="K47" s="491"/>
      <c r="L47" s="491"/>
      <c r="M47" s="491"/>
    </row>
    <row r="48" spans="1:13" ht="15" customHeight="1">
      <c r="A48" s="196" t="s">
        <v>583</v>
      </c>
      <c r="B48" s="279"/>
      <c r="C48" s="279"/>
      <c r="D48" s="279"/>
      <c r="E48" s="279"/>
      <c r="F48" s="214"/>
      <c r="G48" s="214"/>
      <c r="H48" s="214"/>
      <c r="I48" s="214"/>
      <c r="J48" s="492"/>
      <c r="K48" s="492"/>
      <c r="L48" s="492"/>
      <c r="M48" s="492"/>
    </row>
    <row r="49" spans="1:13" ht="15" customHeight="1">
      <c r="A49" s="196" t="s">
        <v>559</v>
      </c>
      <c r="B49" s="275">
        <v>772.44399999999996</v>
      </c>
      <c r="C49" s="275">
        <v>750.83</v>
      </c>
      <c r="D49" s="275">
        <v>726.16300000000001</v>
      </c>
      <c r="E49" s="275">
        <v>701.10500000000002</v>
      </c>
      <c r="F49" s="211">
        <v>676.94</v>
      </c>
      <c r="G49" s="211">
        <v>656.99</v>
      </c>
      <c r="H49" s="211">
        <v>638.31200000000001</v>
      </c>
      <c r="I49" s="211">
        <v>620.05100000000004</v>
      </c>
      <c r="J49" s="488">
        <v>600.39400000000001</v>
      </c>
      <c r="K49" s="488">
        <v>580.84100000000001</v>
      </c>
      <c r="L49" s="488">
        <v>564.09900000000005</v>
      </c>
      <c r="M49" s="488"/>
    </row>
    <row r="50" spans="1:13" ht="15" customHeight="1">
      <c r="A50" s="196" t="s">
        <v>582</v>
      </c>
      <c r="B50" s="275">
        <v>865.02499999999998</v>
      </c>
      <c r="C50" s="275">
        <v>861.91200000000003</v>
      </c>
      <c r="D50" s="275">
        <v>859.548</v>
      </c>
      <c r="E50" s="275">
        <v>855.34900000000005</v>
      </c>
      <c r="F50" s="211">
        <v>854.52499999999998</v>
      </c>
      <c r="G50" s="211">
        <v>850.99199999999996</v>
      </c>
      <c r="H50" s="211">
        <v>852.58699999999999</v>
      </c>
      <c r="I50" s="211">
        <v>853.56100000000004</v>
      </c>
      <c r="J50" s="488">
        <v>852.52800000000002</v>
      </c>
      <c r="K50" s="488">
        <v>859.06500000000005</v>
      </c>
      <c r="L50" s="488">
        <v>859.16899999999998</v>
      </c>
      <c r="M50" s="488"/>
    </row>
    <row r="51" spans="1:13" ht="15" customHeight="1">
      <c r="A51" s="196" t="s">
        <v>600</v>
      </c>
      <c r="B51" s="110">
        <v>529.15499999999997</v>
      </c>
      <c r="C51" s="110">
        <v>530.39400000000001</v>
      </c>
      <c r="D51" s="110">
        <v>530.28099999999995</v>
      </c>
      <c r="E51" s="110">
        <v>530.91200000000003</v>
      </c>
      <c r="F51" s="169">
        <v>526.01300000000003</v>
      </c>
      <c r="G51" s="169">
        <v>527.55999999999995</v>
      </c>
      <c r="H51" s="169">
        <v>526.25099999999998</v>
      </c>
      <c r="I51" s="169">
        <v>526.79700000000003</v>
      </c>
      <c r="J51" s="493">
        <v>529.59299999999996</v>
      </c>
      <c r="K51" s="493">
        <v>527.13400000000001</v>
      </c>
      <c r="L51" s="493">
        <v>533.34500000000003</v>
      </c>
      <c r="M51" s="493"/>
    </row>
    <row r="52" spans="1:13" ht="15" customHeight="1">
      <c r="A52" s="196"/>
      <c r="B52" s="110"/>
      <c r="C52" s="110"/>
      <c r="D52" s="110"/>
      <c r="E52" s="110"/>
      <c r="F52" s="169"/>
      <c r="G52" s="169"/>
      <c r="H52" s="169"/>
      <c r="I52" s="169"/>
      <c r="J52" s="493"/>
      <c r="K52" s="493"/>
      <c r="L52" s="493"/>
      <c r="M52" s="493"/>
    </row>
    <row r="53" spans="1:13" ht="15" customHeight="1">
      <c r="A53" s="196" t="s">
        <v>584</v>
      </c>
      <c r="B53" s="110">
        <v>264.39999999999998</v>
      </c>
      <c r="C53" s="110">
        <v>270.8</v>
      </c>
      <c r="D53" s="110">
        <v>276.8</v>
      </c>
      <c r="E53" s="110">
        <v>276.10000000000002</v>
      </c>
      <c r="F53" s="169">
        <v>275.89999999999998</v>
      </c>
      <c r="G53" s="169">
        <v>271.60000000000002</v>
      </c>
      <c r="H53" s="169">
        <v>265.2</v>
      </c>
      <c r="I53" s="169">
        <v>269.39999999999998</v>
      </c>
      <c r="J53" s="493">
        <v>261.3</v>
      </c>
      <c r="K53" s="493">
        <v>262.60000000000002</v>
      </c>
      <c r="L53" s="493">
        <v>253.1</v>
      </c>
      <c r="M53" s="493"/>
    </row>
    <row r="54" spans="1:13" ht="15" customHeight="1">
      <c r="A54" s="196" t="s">
        <v>585</v>
      </c>
      <c r="B54" s="110">
        <v>337.2</v>
      </c>
      <c r="C54" s="110">
        <v>339</v>
      </c>
      <c r="D54" s="110">
        <v>344.3</v>
      </c>
      <c r="E54" s="110">
        <v>346.5</v>
      </c>
      <c r="F54" s="169">
        <v>346.3</v>
      </c>
      <c r="G54" s="169">
        <v>340.6</v>
      </c>
      <c r="H54" s="169">
        <v>352.7</v>
      </c>
      <c r="I54" s="169">
        <v>340.8</v>
      </c>
      <c r="J54" s="493">
        <v>343.5</v>
      </c>
      <c r="K54" s="493">
        <v>344.8</v>
      </c>
      <c r="L54" s="493">
        <v>358.7</v>
      </c>
      <c r="M54" s="493"/>
    </row>
    <row r="55" spans="1:13" ht="15" customHeight="1">
      <c r="A55" s="196" t="s">
        <v>586</v>
      </c>
      <c r="B55" s="268">
        <v>276.39999999999998</v>
      </c>
      <c r="C55" s="268">
        <v>272.7</v>
      </c>
      <c r="D55" s="268">
        <v>284</v>
      </c>
      <c r="E55" s="268">
        <v>286.8</v>
      </c>
      <c r="F55" s="205">
        <v>285</v>
      </c>
      <c r="G55" s="205">
        <v>291.3</v>
      </c>
      <c r="H55" s="205">
        <v>292.89999999999998</v>
      </c>
      <c r="I55" s="205">
        <v>295.2</v>
      </c>
      <c r="J55" s="480">
        <v>283.2</v>
      </c>
      <c r="K55" s="480">
        <v>279.2</v>
      </c>
      <c r="L55" s="480">
        <v>282.60000000000002</v>
      </c>
      <c r="M55" s="480"/>
    </row>
    <row r="56" spans="1:13" ht="15" customHeight="1">
      <c r="A56" s="196"/>
      <c r="B56" s="268"/>
      <c r="C56" s="268"/>
      <c r="D56" s="268"/>
      <c r="E56" s="268"/>
      <c r="F56" s="205"/>
      <c r="G56" s="205"/>
      <c r="H56" s="205"/>
      <c r="I56" s="205"/>
      <c r="J56" s="480"/>
      <c r="K56" s="480"/>
      <c r="L56" s="480"/>
      <c r="M56" s="480"/>
    </row>
    <row r="57" spans="1:13" ht="15" customHeight="1">
      <c r="A57" s="196" t="s">
        <v>587</v>
      </c>
      <c r="B57" s="279"/>
      <c r="C57" s="279"/>
      <c r="D57" s="279"/>
      <c r="E57" s="279"/>
      <c r="F57" s="214"/>
      <c r="G57" s="214"/>
      <c r="H57" s="214"/>
      <c r="I57" s="214"/>
      <c r="J57" s="492"/>
      <c r="K57" s="492"/>
      <c r="L57" s="492"/>
      <c r="M57" s="492"/>
    </row>
    <row r="58" spans="1:13" ht="15" customHeight="1">
      <c r="A58" s="196" t="s">
        <v>559</v>
      </c>
      <c r="B58" s="275">
        <v>112.18</v>
      </c>
      <c r="C58" s="275">
        <v>107.16500000000001</v>
      </c>
      <c r="D58" s="275">
        <v>102.127</v>
      </c>
      <c r="E58" s="275">
        <v>97.006</v>
      </c>
      <c r="F58" s="211">
        <v>92.02</v>
      </c>
      <c r="G58" s="211">
        <v>87.712999999999994</v>
      </c>
      <c r="H58" s="211">
        <v>83.123999999999995</v>
      </c>
      <c r="I58" s="211">
        <v>76.06</v>
      </c>
      <c r="J58" s="488">
        <v>70.522000000000006</v>
      </c>
      <c r="K58" s="488">
        <v>66.387</v>
      </c>
      <c r="L58" s="488">
        <v>62.402000000000001</v>
      </c>
      <c r="M58" s="488"/>
    </row>
    <row r="59" spans="1:13" ht="15" customHeight="1">
      <c r="A59" s="196" t="s">
        <v>560</v>
      </c>
      <c r="B59" s="275">
        <v>70.081999999999994</v>
      </c>
      <c r="C59" s="275">
        <v>68.899000000000001</v>
      </c>
      <c r="D59" s="275">
        <v>68.451999999999998</v>
      </c>
      <c r="E59" s="275">
        <v>68.736999999999995</v>
      </c>
      <c r="F59" s="211">
        <v>68.665999999999997</v>
      </c>
      <c r="G59" s="211">
        <v>69.513000000000005</v>
      </c>
      <c r="H59" s="211">
        <v>68.852999999999994</v>
      </c>
      <c r="I59" s="211">
        <v>69.08</v>
      </c>
      <c r="J59" s="488">
        <v>67.47</v>
      </c>
      <c r="K59" s="488">
        <v>66.405000000000001</v>
      </c>
      <c r="L59" s="488">
        <v>65.194000000000003</v>
      </c>
      <c r="M59" s="488"/>
    </row>
    <row r="60" spans="1:13" ht="15" customHeight="1">
      <c r="A60" s="201" t="s">
        <v>561</v>
      </c>
      <c r="B60" s="280">
        <v>256.35899999999998</v>
      </c>
      <c r="C60" s="280">
        <v>251.28299999999999</v>
      </c>
      <c r="D60" s="280">
        <v>248.15299999999999</v>
      </c>
      <c r="E60" s="280">
        <v>243.40100000000001</v>
      </c>
      <c r="F60" s="215">
        <v>237.88</v>
      </c>
      <c r="G60" s="215">
        <v>233.77199999999999</v>
      </c>
      <c r="H60" s="215">
        <v>228.78899999999999</v>
      </c>
      <c r="I60" s="215">
        <v>222.15299999999999</v>
      </c>
      <c r="J60" s="494">
        <v>214.602</v>
      </c>
      <c r="K60" s="494">
        <v>207.77699999999999</v>
      </c>
      <c r="L60" s="494">
        <v>202.55</v>
      </c>
      <c r="M60" s="494"/>
    </row>
    <row r="61" spans="1:13" ht="15" customHeight="1">
      <c r="A61" s="556" t="s">
        <v>562</v>
      </c>
    </row>
  </sheetData>
  <mergeCells count="3">
    <mergeCell ref="B4:E4"/>
    <mergeCell ref="F4:I4"/>
    <mergeCell ref="J4:M4"/>
  </mergeCells>
  <pageMargins left="0.24" right="0.24" top="0.984251969" bottom="0.984251969" header="0.5" footer="0.5"/>
  <pageSetup paperSize="9" scale="50" orientation="landscape" r:id="rId1"/>
  <headerFooter alignWithMargins="0"/>
  <customProperties>
    <customPr name="ConnNam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6" enableFormatConditionsCalculation="0">
    <tabColor rgb="FF0099FF"/>
    <pageSetUpPr fitToPage="1"/>
  </sheetPr>
  <dimension ref="A1:O44"/>
  <sheetViews>
    <sheetView showGridLines="0" view="pageBreakPreview" zoomScale="90" zoomScaleNormal="100" zoomScaleSheetLayoutView="90" workbookViewId="0">
      <selection activeCell="A3" sqref="A3"/>
    </sheetView>
  </sheetViews>
  <sheetFormatPr defaultColWidth="11.42578125" defaultRowHeight="12.75"/>
  <cols>
    <col min="1" max="1" width="76.7109375" customWidth="1"/>
    <col min="2" max="13" width="9.7109375" customWidth="1"/>
  </cols>
  <sheetData>
    <row r="1" spans="1:14" ht="15" customHeight="1"/>
    <row r="2" spans="1:14" ht="15" customHeight="1"/>
    <row r="3" spans="1:14" ht="15" customHeight="1" thickBot="1">
      <c r="A3" s="92" t="s">
        <v>654</v>
      </c>
      <c r="B3" s="93"/>
      <c r="C3" s="93"/>
      <c r="D3" s="93"/>
      <c r="E3" s="93"/>
      <c r="F3" s="93"/>
      <c r="G3" s="93"/>
      <c r="H3" s="93"/>
      <c r="I3" s="93"/>
      <c r="J3" s="93"/>
      <c r="K3" s="93"/>
      <c r="L3" s="93"/>
      <c r="M3" s="93"/>
    </row>
    <row r="4" spans="1:14" ht="15" customHeight="1" thickBot="1">
      <c r="A4" s="78"/>
      <c r="B4" s="576">
        <v>2014</v>
      </c>
      <c r="C4" s="577"/>
      <c r="D4" s="577"/>
      <c r="E4" s="578"/>
      <c r="F4" s="579">
        <v>2015</v>
      </c>
      <c r="G4" s="580"/>
      <c r="H4" s="580"/>
      <c r="I4" s="581"/>
      <c r="J4" s="582">
        <v>2016</v>
      </c>
      <c r="K4" s="583"/>
      <c r="L4" s="583"/>
      <c r="M4" s="583"/>
    </row>
    <row r="5" spans="1:14" ht="15" customHeight="1" thickBot="1">
      <c r="A5" s="191" t="s">
        <v>527</v>
      </c>
      <c r="B5" s="80" t="s">
        <v>510</v>
      </c>
      <c r="C5" s="80" t="s">
        <v>511</v>
      </c>
      <c r="D5" s="80" t="s">
        <v>513</v>
      </c>
      <c r="E5" s="81" t="s">
        <v>514</v>
      </c>
      <c r="F5" s="308" t="s">
        <v>510</v>
      </c>
      <c r="G5" s="308" t="s">
        <v>511</v>
      </c>
      <c r="H5" s="308" t="s">
        <v>513</v>
      </c>
      <c r="I5" s="309" t="s">
        <v>514</v>
      </c>
      <c r="J5" s="235" t="s">
        <v>510</v>
      </c>
      <c r="K5" s="235" t="s">
        <v>511</v>
      </c>
      <c r="L5" s="235" t="s">
        <v>513</v>
      </c>
      <c r="M5" s="235" t="s">
        <v>514</v>
      </c>
      <c r="N5" s="389"/>
    </row>
    <row r="6" spans="1:14" ht="15" customHeight="1">
      <c r="A6" s="91" t="s">
        <v>61</v>
      </c>
      <c r="B6" s="77">
        <v>730.10434385997496</v>
      </c>
      <c r="C6" s="77">
        <v>708.56085720727492</v>
      </c>
      <c r="D6" s="77">
        <v>734.57252466969999</v>
      </c>
      <c r="E6" s="77">
        <v>733.67187288600053</v>
      </c>
      <c r="F6" s="163">
        <v>718.44926073135593</v>
      </c>
      <c r="G6" s="163">
        <v>700.27760681344421</v>
      </c>
      <c r="H6" s="163">
        <v>768.11831541399965</v>
      </c>
      <c r="I6" s="163">
        <v>751.68922331093017</v>
      </c>
      <c r="J6" s="324">
        <v>771.20869243562299</v>
      </c>
      <c r="K6" s="324">
        <v>724.9199734461771</v>
      </c>
      <c r="L6" s="324">
        <v>711.03757620679039</v>
      </c>
      <c r="M6" s="324"/>
    </row>
    <row r="7" spans="1:14" ht="15" customHeight="1">
      <c r="A7" s="83" t="s">
        <v>140</v>
      </c>
      <c r="B7" s="69">
        <v>58.607076126105007</v>
      </c>
      <c r="C7" s="69">
        <v>62.283569033889002</v>
      </c>
      <c r="D7" s="69">
        <v>61.342154517889995</v>
      </c>
      <c r="E7" s="69">
        <v>65.53096751768399</v>
      </c>
      <c r="F7" s="156">
        <v>41.833902153282004</v>
      </c>
      <c r="G7" s="156">
        <v>42.442201813827985</v>
      </c>
      <c r="H7" s="156">
        <v>43.336678655670013</v>
      </c>
      <c r="I7" s="156">
        <v>45.708315585140014</v>
      </c>
      <c r="J7" s="316">
        <v>42.612839661444994</v>
      </c>
      <c r="K7" s="316">
        <v>68.941964324996007</v>
      </c>
      <c r="L7" s="316">
        <v>63.667359133912001</v>
      </c>
      <c r="M7" s="316"/>
    </row>
    <row r="8" spans="1:14" ht="18" customHeight="1">
      <c r="A8" s="84" t="s">
        <v>6</v>
      </c>
      <c r="B8" s="70">
        <v>788.71141998607993</v>
      </c>
      <c r="C8" s="70">
        <v>770.84442624116389</v>
      </c>
      <c r="D8" s="70">
        <v>795.91467918759008</v>
      </c>
      <c r="E8" s="70">
        <v>799.2028404036846</v>
      </c>
      <c r="F8" s="157">
        <v>760.28316288463793</v>
      </c>
      <c r="G8" s="157">
        <v>742.71980862727219</v>
      </c>
      <c r="H8" s="157">
        <v>811.45499406966951</v>
      </c>
      <c r="I8" s="157">
        <v>797.39753889607027</v>
      </c>
      <c r="J8" s="317">
        <v>813.82153209706803</v>
      </c>
      <c r="K8" s="317">
        <v>793.86193777117296</v>
      </c>
      <c r="L8" s="317">
        <v>774.70493534070238</v>
      </c>
      <c r="M8" s="317"/>
    </row>
    <row r="9" spans="1:14" ht="15" customHeight="1">
      <c r="A9" s="83" t="s">
        <v>550</v>
      </c>
      <c r="B9" s="69">
        <v>15.457220128115001</v>
      </c>
      <c r="C9" s="69">
        <v>52.075662446929002</v>
      </c>
      <c r="D9" s="69">
        <v>-16.595731610750001</v>
      </c>
      <c r="E9" s="69">
        <v>17.258984830765989</v>
      </c>
      <c r="F9" s="156">
        <v>28.128638767377002</v>
      </c>
      <c r="G9" s="156">
        <v>31.929497049092998</v>
      </c>
      <c r="H9" s="156">
        <v>25.393422467440004</v>
      </c>
      <c r="I9" s="156">
        <v>63.97863978429001</v>
      </c>
      <c r="J9" s="316">
        <v>32.576450965856999</v>
      </c>
      <c r="K9" s="316">
        <v>41.010006715031913</v>
      </c>
      <c r="L9" s="316">
        <v>56.933906074148069</v>
      </c>
      <c r="M9" s="316"/>
    </row>
    <row r="10" spans="1:14" ht="18" customHeight="1">
      <c r="A10" s="84" t="s">
        <v>60</v>
      </c>
      <c r="B10" s="71">
        <v>804.16864011419489</v>
      </c>
      <c r="C10" s="71">
        <v>822.92008868809285</v>
      </c>
      <c r="D10" s="71">
        <v>779.31894757683995</v>
      </c>
      <c r="E10" s="71">
        <v>816.46182523445077</v>
      </c>
      <c r="F10" s="158">
        <v>788.4118016520149</v>
      </c>
      <c r="G10" s="158">
        <v>774.6493056763652</v>
      </c>
      <c r="H10" s="158">
        <v>836.84841653710942</v>
      </c>
      <c r="I10" s="158">
        <v>861.37617868036023</v>
      </c>
      <c r="J10" s="318">
        <v>846.39798306292505</v>
      </c>
      <c r="K10" s="318">
        <v>834.87194448620494</v>
      </c>
      <c r="L10" s="318">
        <v>831.6388414148505</v>
      </c>
      <c r="M10" s="318"/>
    </row>
    <row r="11" spans="1:14" ht="15" customHeight="1">
      <c r="A11" s="83" t="s">
        <v>136</v>
      </c>
      <c r="B11" s="72">
        <v>236.43615075993699</v>
      </c>
      <c r="C11" s="72">
        <v>183.29700213234503</v>
      </c>
      <c r="D11" s="72">
        <v>309.51633845134501</v>
      </c>
      <c r="E11" s="72">
        <v>382.14083371000322</v>
      </c>
      <c r="F11" s="159">
        <v>308.17696061212399</v>
      </c>
      <c r="G11" s="159">
        <v>303.5653974860831</v>
      </c>
      <c r="H11" s="159">
        <v>277.24607879744292</v>
      </c>
      <c r="I11" s="159">
        <v>411.14905642520989</v>
      </c>
      <c r="J11" s="319">
        <v>250.65402621555501</v>
      </c>
      <c r="K11" s="319">
        <v>260.84616131323298</v>
      </c>
      <c r="L11" s="319">
        <v>299.94664918162601</v>
      </c>
      <c r="M11" s="319"/>
    </row>
    <row r="12" spans="1:14" ht="18" customHeight="1">
      <c r="A12" s="85" t="s">
        <v>7</v>
      </c>
      <c r="B12" s="73">
        <v>1040.6047908741318</v>
      </c>
      <c r="C12" s="73">
        <v>1006.217090820438</v>
      </c>
      <c r="D12" s="73">
        <v>1088.835286028185</v>
      </c>
      <c r="E12" s="73">
        <v>1198.6026589444537</v>
      </c>
      <c r="F12" s="160">
        <v>1096.5887622641389</v>
      </c>
      <c r="G12" s="160">
        <v>1078.2147031624481</v>
      </c>
      <c r="H12" s="160">
        <v>1114.0944953345524</v>
      </c>
      <c r="I12" s="160">
        <v>1272.5252351055701</v>
      </c>
      <c r="J12" s="320">
        <v>1097.05200927848</v>
      </c>
      <c r="K12" s="320">
        <v>1095.718105799438</v>
      </c>
      <c r="L12" s="320">
        <v>1131.5854905964766</v>
      </c>
      <c r="M12" s="320"/>
    </row>
    <row r="13" spans="1:14" ht="15" customHeight="1">
      <c r="A13" s="88"/>
      <c r="B13" s="71"/>
      <c r="C13" s="71"/>
      <c r="D13" s="71"/>
      <c r="E13" s="71"/>
      <c r="F13" s="158"/>
      <c r="G13" s="158"/>
      <c r="H13" s="158"/>
      <c r="I13" s="158"/>
      <c r="J13" s="318"/>
      <c r="K13" s="318"/>
      <c r="L13" s="318"/>
      <c r="M13" s="318"/>
    </row>
    <row r="14" spans="1:14" ht="18" customHeight="1">
      <c r="A14" s="84" t="s">
        <v>8</v>
      </c>
      <c r="B14" s="70">
        <v>166.50822988395501</v>
      </c>
      <c r="C14" s="70">
        <v>159.88659164124098</v>
      </c>
      <c r="D14" s="70">
        <v>154.12969386275</v>
      </c>
      <c r="E14" s="70">
        <v>161.51603250193801</v>
      </c>
      <c r="F14" s="157">
        <v>159.40684805207999</v>
      </c>
      <c r="G14" s="157">
        <v>162.57308836496</v>
      </c>
      <c r="H14" s="157">
        <v>159.13714336175002</v>
      </c>
      <c r="I14" s="157">
        <v>158.687007468638</v>
      </c>
      <c r="J14" s="317">
        <v>158.77757071551002</v>
      </c>
      <c r="K14" s="317">
        <v>148.45420945965293</v>
      </c>
      <c r="L14" s="317">
        <v>133.52022997761907</v>
      </c>
      <c r="M14" s="317"/>
    </row>
    <row r="15" spans="1:14" ht="18" customHeight="1">
      <c r="A15" s="558" t="s">
        <v>381</v>
      </c>
      <c r="B15" s="73">
        <v>1207.1130207580868</v>
      </c>
      <c r="C15" s="73">
        <v>1166.103682461679</v>
      </c>
      <c r="D15" s="73">
        <v>1242.964979890935</v>
      </c>
      <c r="E15" s="73">
        <v>1360.1186914463915</v>
      </c>
      <c r="F15" s="160">
        <v>1255.995610316219</v>
      </c>
      <c r="G15" s="160">
        <v>1240.787791527408</v>
      </c>
      <c r="H15" s="160">
        <v>1273.2316386963025</v>
      </c>
      <c r="I15" s="160">
        <v>1431.2122425742086</v>
      </c>
      <c r="J15" s="320">
        <v>1255.8295799939901</v>
      </c>
      <c r="K15" s="320">
        <v>1244.1723152590907</v>
      </c>
      <c r="L15" s="320">
        <v>1265.1057205740958</v>
      </c>
      <c r="M15" s="320"/>
    </row>
    <row r="16" spans="1:14" ht="18" customHeight="1">
      <c r="A16" s="559" t="s">
        <v>386</v>
      </c>
      <c r="B16" s="69">
        <v>11.06039514051</v>
      </c>
      <c r="C16" s="69">
        <v>19.985621007881999</v>
      </c>
      <c r="D16" s="69">
        <v>20.508912832188003</v>
      </c>
      <c r="E16" s="69">
        <v>21.085814086415979</v>
      </c>
      <c r="F16" s="156">
        <v>19.958102962361998</v>
      </c>
      <c r="G16" s="156">
        <v>13.926749519712502</v>
      </c>
      <c r="H16" s="156">
        <v>18.784376312835498</v>
      </c>
      <c r="I16" s="156">
        <v>22.529632963697992</v>
      </c>
      <c r="J16" s="316">
        <v>28.153974674341001</v>
      </c>
      <c r="K16" s="316">
        <v>33.666667384592301</v>
      </c>
      <c r="L16" s="316">
        <v>35.920688872295088</v>
      </c>
      <c r="M16" s="316"/>
    </row>
    <row r="17" spans="1:15" ht="15" customHeight="1">
      <c r="A17" s="66"/>
      <c r="B17" s="69"/>
      <c r="C17" s="69"/>
      <c r="D17" s="69"/>
      <c r="E17" s="69"/>
      <c r="F17" s="156"/>
      <c r="G17" s="156"/>
      <c r="H17" s="156"/>
      <c r="I17" s="156"/>
      <c r="J17" s="316"/>
      <c r="K17" s="316"/>
      <c r="L17" s="316"/>
      <c r="M17" s="316"/>
    </row>
    <row r="18" spans="1:15" ht="18" customHeight="1">
      <c r="A18" s="87" t="s">
        <v>548</v>
      </c>
      <c r="B18" s="71">
        <v>189.732802153432</v>
      </c>
      <c r="C18" s="71">
        <v>130.72599878748801</v>
      </c>
      <c r="D18" s="71">
        <v>229.34375992664889</v>
      </c>
      <c r="E18" s="71">
        <v>176.30232880803408</v>
      </c>
      <c r="F18" s="158">
        <v>208.22765116329899</v>
      </c>
      <c r="G18" s="158">
        <v>118.787938656026</v>
      </c>
      <c r="H18" s="158">
        <v>127.01741382489502</v>
      </c>
      <c r="I18" s="158">
        <v>136.69225847621794</v>
      </c>
      <c r="J18" s="318">
        <v>161.744272719522</v>
      </c>
      <c r="K18" s="318">
        <v>146.18054157085098</v>
      </c>
      <c r="L18" s="318">
        <v>136.22337535408502</v>
      </c>
      <c r="M18" s="318"/>
    </row>
    <row r="19" spans="1:15" ht="15" customHeight="1">
      <c r="A19" s="83" t="s">
        <v>477</v>
      </c>
      <c r="B19" s="69">
        <v>-16.621041496452499</v>
      </c>
      <c r="C19" s="69">
        <v>-14.612939872367502</v>
      </c>
      <c r="D19" s="69">
        <v>-29.636037586601997</v>
      </c>
      <c r="E19" s="69">
        <v>-87.197920254833988</v>
      </c>
      <c r="F19" s="156">
        <v>-5.8442665204889961</v>
      </c>
      <c r="G19" s="156">
        <v>-12.110382184058512</v>
      </c>
      <c r="H19" s="156">
        <v>-176.53081256100248</v>
      </c>
      <c r="I19" s="156">
        <v>-25.810553592224011</v>
      </c>
      <c r="J19" s="316">
        <v>-8.4210393274088027</v>
      </c>
      <c r="K19" s="316">
        <v>-10.610246897876056</v>
      </c>
      <c r="L19" s="316">
        <v>-34.182862235698238</v>
      </c>
      <c r="M19" s="316"/>
    </row>
    <row r="20" spans="1:15" s="68" customFormat="1" ht="18" customHeight="1">
      <c r="A20" s="88" t="s">
        <v>535</v>
      </c>
      <c r="B20" s="71">
        <v>173.1117606569795</v>
      </c>
      <c r="C20" s="71">
        <v>116.11305891512049</v>
      </c>
      <c r="D20" s="71">
        <v>199.70772234004693</v>
      </c>
      <c r="E20" s="71">
        <v>89.104408553200074</v>
      </c>
      <c r="F20" s="158">
        <v>202.38338464281</v>
      </c>
      <c r="G20" s="158">
        <v>106.67755647196751</v>
      </c>
      <c r="H20" s="158">
        <v>-49.51339873610749</v>
      </c>
      <c r="I20" s="158">
        <v>110.8817048839939</v>
      </c>
      <c r="J20" s="318">
        <v>153.3232333921132</v>
      </c>
      <c r="K20" s="318">
        <v>135.57029467297491</v>
      </c>
      <c r="L20" s="318">
        <v>102.0405131183868</v>
      </c>
      <c r="M20" s="318"/>
    </row>
    <row r="21" spans="1:15" ht="15" customHeight="1">
      <c r="A21" s="83" t="s">
        <v>143</v>
      </c>
      <c r="B21" s="69">
        <v>-214.25291563615997</v>
      </c>
      <c r="C21" s="69">
        <v>-184.30973038877801</v>
      </c>
      <c r="D21" s="69">
        <v>-176.22127403586694</v>
      </c>
      <c r="E21" s="69">
        <v>-200.12172185951408</v>
      </c>
      <c r="F21" s="156">
        <v>-201.14867948234902</v>
      </c>
      <c r="G21" s="156">
        <v>-178.65126662666901</v>
      </c>
      <c r="H21" s="156">
        <v>-183.75709587164192</v>
      </c>
      <c r="I21" s="156">
        <v>-180.083837239182</v>
      </c>
      <c r="J21" s="316">
        <v>-73.543059019484403</v>
      </c>
      <c r="K21" s="316">
        <v>-67.69999809898259</v>
      </c>
      <c r="L21" s="316">
        <v>-39.821482054604019</v>
      </c>
      <c r="M21" s="316"/>
    </row>
    <row r="22" spans="1:15" ht="15" customHeight="1">
      <c r="A22" s="89" t="s">
        <v>43</v>
      </c>
      <c r="B22" s="69">
        <v>0</v>
      </c>
      <c r="C22" s="69">
        <v>0</v>
      </c>
      <c r="D22" s="69">
        <v>0</v>
      </c>
      <c r="E22" s="69">
        <v>0</v>
      </c>
      <c r="F22" s="156">
        <v>0</v>
      </c>
      <c r="G22" s="156">
        <v>0</v>
      </c>
      <c r="H22" s="156">
        <v>0</v>
      </c>
      <c r="I22" s="156">
        <v>-2142.6080000000002</v>
      </c>
      <c r="J22" s="316">
        <v>0</v>
      </c>
      <c r="K22" s="316">
        <v>0</v>
      </c>
      <c r="L22" s="316">
        <v>0</v>
      </c>
      <c r="M22" s="316"/>
    </row>
    <row r="23" spans="1:15" ht="18" customHeight="1">
      <c r="A23" s="84" t="s">
        <v>414</v>
      </c>
      <c r="B23" s="73">
        <v>-41.14115497918047</v>
      </c>
      <c r="C23" s="73">
        <v>-68.196671473657517</v>
      </c>
      <c r="D23" s="73">
        <v>23.486448304179987</v>
      </c>
      <c r="E23" s="73">
        <v>-111.01731330631401</v>
      </c>
      <c r="F23" s="160">
        <v>1.234705160460976</v>
      </c>
      <c r="G23" s="160">
        <v>-71.973710154701507</v>
      </c>
      <c r="H23" s="160">
        <v>-233.27049460774941</v>
      </c>
      <c r="I23" s="160">
        <v>-2211.8101323551882</v>
      </c>
      <c r="J23" s="320">
        <v>79.780174372628792</v>
      </c>
      <c r="K23" s="320">
        <v>67.87029657399232</v>
      </c>
      <c r="L23" s="320">
        <v>62.219031063782779</v>
      </c>
      <c r="M23" s="320"/>
    </row>
    <row r="24" spans="1:15" ht="15" customHeight="1">
      <c r="A24" s="83"/>
      <c r="B24" s="281"/>
      <c r="C24" s="281"/>
      <c r="D24" s="281"/>
      <c r="E24" s="281"/>
      <c r="F24" s="282"/>
      <c r="G24" s="282"/>
      <c r="H24" s="282"/>
      <c r="I24" s="282"/>
      <c r="J24" s="322"/>
      <c r="K24" s="322"/>
      <c r="L24" s="322"/>
      <c r="M24" s="322"/>
    </row>
    <row r="25" spans="1:15" ht="15" customHeight="1">
      <c r="A25" s="83" t="s">
        <v>479</v>
      </c>
      <c r="B25" s="74">
        <v>15.717898729505601</v>
      </c>
      <c r="C25" s="74">
        <v>11.210495323325075</v>
      </c>
      <c r="D25" s="74">
        <v>18.451345262098442</v>
      </c>
      <c r="E25" s="74">
        <v>12.962275271766821</v>
      </c>
      <c r="F25" s="161">
        <v>16.578692588811997</v>
      </c>
      <c r="G25" s="161">
        <v>9.5735902196295957</v>
      </c>
      <c r="H25" s="161">
        <v>9.975986298530227</v>
      </c>
      <c r="I25" s="161">
        <v>9.5508027677544423</v>
      </c>
      <c r="J25" s="323">
        <v>12.879476267814621</v>
      </c>
      <c r="K25" s="323">
        <v>11.749219925409596</v>
      </c>
      <c r="L25" s="323">
        <v>10.767746373976385</v>
      </c>
      <c r="M25" s="323"/>
    </row>
    <row r="26" spans="1:15" s="68" customFormat="1" ht="15" customHeight="1">
      <c r="A26" s="83" t="s">
        <v>62</v>
      </c>
      <c r="B26" s="74">
        <v>14.340973685153562</v>
      </c>
      <c r="C26" s="74">
        <v>9.9573529062186328</v>
      </c>
      <c r="D26" s="74">
        <v>16.067043365740719</v>
      </c>
      <c r="E26" s="74">
        <v>6.551223000872354</v>
      </c>
      <c r="F26" s="161">
        <v>16.113383118580838</v>
      </c>
      <c r="G26" s="161">
        <v>8.5975665782984194</v>
      </c>
      <c r="H26" s="161">
        <v>-3.8887973901438424</v>
      </c>
      <c r="I26" s="161">
        <v>7.7473977363804352</v>
      </c>
      <c r="J26" s="323">
        <v>12.208920369023872</v>
      </c>
      <c r="K26" s="323">
        <v>10.896424314404014</v>
      </c>
      <c r="L26" s="323">
        <v>8.0657696395587841</v>
      </c>
      <c r="M26" s="323"/>
    </row>
    <row r="27" spans="1:15" ht="15" customHeight="1">
      <c r="A27" s="83" t="s">
        <v>63</v>
      </c>
      <c r="B27" s="74">
        <v>-3.4082272555840012</v>
      </c>
      <c r="C27" s="74">
        <v>-5.848251103168832</v>
      </c>
      <c r="D27" s="74">
        <v>1.8895502837288969</v>
      </c>
      <c r="E27" s="74">
        <v>-8.1623253914887997</v>
      </c>
      <c r="F27" s="161">
        <v>9.8304894564887627E-2</v>
      </c>
      <c r="G27" s="161">
        <v>-5.8006462221958177</v>
      </c>
      <c r="H27" s="161">
        <v>-18.32113556702075</v>
      </c>
      <c r="I27" s="161">
        <v>-154.54102938478081</v>
      </c>
      <c r="J27" s="323">
        <v>6.3527866872677574</v>
      </c>
      <c r="K27" s="323">
        <v>5.455056003224021</v>
      </c>
      <c r="L27" s="323">
        <v>4.9180894570256335</v>
      </c>
      <c r="M27" s="323"/>
    </row>
    <row r="28" spans="1:15" ht="15" customHeight="1">
      <c r="A28" s="83"/>
      <c r="B28" s="69"/>
      <c r="C28" s="69"/>
      <c r="D28" s="69"/>
      <c r="E28" s="69"/>
      <c r="F28" s="156"/>
      <c r="G28" s="156"/>
      <c r="H28" s="156"/>
      <c r="I28" s="156"/>
      <c r="J28" s="316"/>
      <c r="K28" s="316"/>
      <c r="L28" s="316"/>
      <c r="M28" s="316"/>
    </row>
    <row r="29" spans="1:15" ht="15" customHeight="1">
      <c r="A29" s="83" t="s">
        <v>64</v>
      </c>
      <c r="B29" s="69">
        <v>143.74179050000001</v>
      </c>
      <c r="C29" s="69">
        <v>112.14021009999999</v>
      </c>
      <c r="D29" s="69">
        <v>102.82977500000007</v>
      </c>
      <c r="E29" s="69">
        <v>155.67500119999994</v>
      </c>
      <c r="F29" s="156">
        <v>134.05190489999998</v>
      </c>
      <c r="G29" s="156">
        <v>127.82304360000003</v>
      </c>
      <c r="H29" s="156">
        <v>71.068571500000019</v>
      </c>
      <c r="I29" s="156">
        <v>164.22494760000001</v>
      </c>
      <c r="J29" s="316">
        <v>118.2818008</v>
      </c>
      <c r="K29" s="316">
        <v>84.320794555999996</v>
      </c>
      <c r="L29" s="316">
        <v>45.242052210000026</v>
      </c>
      <c r="M29" s="316"/>
    </row>
    <row r="30" spans="1:15" ht="15" customHeight="1">
      <c r="A30" s="83" t="s">
        <v>0</v>
      </c>
      <c r="B30" s="69">
        <v>0</v>
      </c>
      <c r="C30" s="69">
        <v>0</v>
      </c>
      <c r="D30" s="69">
        <v>-14.1321932</v>
      </c>
      <c r="E30" s="69">
        <v>0</v>
      </c>
      <c r="F30" s="156">
        <v>0</v>
      </c>
      <c r="G30" s="156">
        <v>0</v>
      </c>
      <c r="H30" s="156">
        <v>0</v>
      </c>
      <c r="I30" s="156">
        <v>0</v>
      </c>
      <c r="J30" s="316">
        <v>0</v>
      </c>
      <c r="K30" s="316">
        <v>0</v>
      </c>
      <c r="L30" s="316">
        <v>0</v>
      </c>
      <c r="M30" s="316"/>
      <c r="O30" s="68"/>
    </row>
    <row r="31" spans="1:15" s="190" customFormat="1" ht="15" customHeight="1">
      <c r="A31" s="196" t="s">
        <v>480</v>
      </c>
      <c r="B31" s="270">
        <v>143.74179050000001</v>
      </c>
      <c r="C31" s="270">
        <v>112.14021009999999</v>
      </c>
      <c r="D31" s="270">
        <v>102.82977500000007</v>
      </c>
      <c r="E31" s="270">
        <v>155.67500119999994</v>
      </c>
      <c r="F31" s="207">
        <v>134.05190489999998</v>
      </c>
      <c r="G31" s="207">
        <v>127.82304360000003</v>
      </c>
      <c r="H31" s="207">
        <v>71.068571500000019</v>
      </c>
      <c r="I31" s="207">
        <v>164.22494760000001</v>
      </c>
      <c r="J31" s="316">
        <v>118.2818008</v>
      </c>
      <c r="K31" s="316">
        <v>84.320794555999996</v>
      </c>
      <c r="L31" s="316">
        <v>45.242052210000026</v>
      </c>
      <c r="M31" s="316"/>
    </row>
    <row r="32" spans="1:15" ht="15" customHeight="1">
      <c r="A32" s="83"/>
      <c r="B32" s="69"/>
      <c r="C32" s="69"/>
      <c r="D32" s="69"/>
      <c r="E32" s="69"/>
      <c r="F32" s="156"/>
      <c r="G32" s="156"/>
      <c r="H32" s="156"/>
      <c r="I32" s="156"/>
      <c r="J32" s="316"/>
      <c r="K32" s="316"/>
      <c r="L32" s="316"/>
      <c r="M32" s="316"/>
    </row>
    <row r="33" spans="1:13" ht="15" customHeight="1">
      <c r="A33" s="102" t="s">
        <v>139</v>
      </c>
      <c r="B33" s="69"/>
      <c r="C33" s="69"/>
      <c r="D33" s="69"/>
      <c r="E33" s="69"/>
      <c r="F33" s="156"/>
      <c r="G33" s="156"/>
      <c r="H33" s="156"/>
      <c r="I33" s="156"/>
      <c r="J33" s="316"/>
      <c r="K33" s="316"/>
      <c r="L33" s="316"/>
      <c r="M33" s="316"/>
    </row>
    <row r="34" spans="1:13" ht="15" customHeight="1">
      <c r="A34" s="91" t="s">
        <v>411</v>
      </c>
      <c r="B34" s="77">
        <v>1679.9169999999999</v>
      </c>
      <c r="C34" s="77">
        <v>1704.2059999999999</v>
      </c>
      <c r="D34" s="77">
        <v>1728.5039999999999</v>
      </c>
      <c r="E34" s="77">
        <v>1747.9939999999999</v>
      </c>
      <c r="F34" s="163">
        <v>1770.2760000000001</v>
      </c>
      <c r="G34" s="163">
        <v>1780.297</v>
      </c>
      <c r="H34" s="163">
        <v>1788.575</v>
      </c>
      <c r="I34" s="163">
        <v>1784.2149999999999</v>
      </c>
      <c r="J34" s="324">
        <v>1796.99</v>
      </c>
      <c r="K34" s="324">
        <v>1778.5350000000001</v>
      </c>
      <c r="L34" s="324">
        <v>1776.886</v>
      </c>
      <c r="M34" s="324"/>
    </row>
    <row r="35" spans="1:13" ht="15" customHeight="1">
      <c r="A35" s="83" t="s">
        <v>376</v>
      </c>
      <c r="B35" s="69">
        <v>448</v>
      </c>
      <c r="C35" s="69">
        <v>457</v>
      </c>
      <c r="D35" s="69">
        <v>447</v>
      </c>
      <c r="E35" s="69">
        <v>445</v>
      </c>
      <c r="F35" s="156">
        <v>441.404</v>
      </c>
      <c r="G35" s="156">
        <v>436.47199999999998</v>
      </c>
      <c r="H35" s="156">
        <v>434.34300000000002</v>
      </c>
      <c r="I35" s="156">
        <v>423.23099999999999</v>
      </c>
      <c r="J35" s="316">
        <v>431.18200000000002</v>
      </c>
      <c r="K35" s="316">
        <v>420.39</v>
      </c>
      <c r="L35" s="316">
        <v>435.6</v>
      </c>
      <c r="M35" s="316"/>
    </row>
    <row r="36" spans="1:13" ht="15" customHeight="1">
      <c r="A36" s="83" t="s">
        <v>374</v>
      </c>
      <c r="B36" s="69">
        <v>276.76615020736199</v>
      </c>
      <c r="C36" s="69">
        <v>279.15518336341398</v>
      </c>
      <c r="D36" s="69">
        <v>268.74395956302197</v>
      </c>
      <c r="E36" s="69">
        <v>282.35271544820301</v>
      </c>
      <c r="F36" s="156">
        <v>283.10435578276901</v>
      </c>
      <c r="G36" s="156">
        <v>285.10903811740502</v>
      </c>
      <c r="H36" s="156">
        <v>270.54718006510598</v>
      </c>
      <c r="I36" s="156">
        <v>286.061109938534</v>
      </c>
      <c r="J36" s="316">
        <v>0</v>
      </c>
      <c r="K36" s="316">
        <v>0</v>
      </c>
      <c r="L36" s="316">
        <v>0</v>
      </c>
      <c r="M36" s="316"/>
    </row>
    <row r="37" spans="1:13" ht="15" customHeight="1">
      <c r="A37" s="83" t="s">
        <v>375</v>
      </c>
      <c r="B37" s="69">
        <v>153.2345</v>
      </c>
      <c r="C37" s="69">
        <v>147.35979999999998</v>
      </c>
      <c r="D37" s="69">
        <v>149.904</v>
      </c>
      <c r="E37" s="69">
        <v>149.851</v>
      </c>
      <c r="F37" s="156">
        <v>144.16829999999999</v>
      </c>
      <c r="G37" s="156">
        <v>140.06819999999999</v>
      </c>
      <c r="H37" s="156">
        <v>151.85039999999998</v>
      </c>
      <c r="I37" s="156">
        <v>148.91660000000002</v>
      </c>
      <c r="J37" s="316">
        <v>151.95207540983608</v>
      </c>
      <c r="K37" s="316">
        <v>147.84219999999999</v>
      </c>
      <c r="L37" s="316">
        <v>146.02770000000001</v>
      </c>
      <c r="M37" s="316"/>
    </row>
    <row r="38" spans="1:13" ht="15" customHeight="1">
      <c r="A38" s="83" t="s">
        <v>377</v>
      </c>
      <c r="B38" s="69">
        <v>168.89350000000002</v>
      </c>
      <c r="C38" s="69">
        <v>160.55619999999999</v>
      </c>
      <c r="D38" s="69">
        <v>163.22880000000001</v>
      </c>
      <c r="E38" s="69">
        <v>160.2253</v>
      </c>
      <c r="F38" s="156">
        <v>155.88929999999999</v>
      </c>
      <c r="G38" s="156">
        <v>151.54919999999998</v>
      </c>
      <c r="H38" s="156">
        <v>164.09639999999999</v>
      </c>
      <c r="I38" s="156">
        <v>161.4306</v>
      </c>
      <c r="J38" s="316">
        <v>164.7211573770492</v>
      </c>
      <c r="K38" s="316">
        <v>159.11829999999998</v>
      </c>
      <c r="L38" s="316">
        <v>154.76439999999999</v>
      </c>
      <c r="M38" s="316"/>
    </row>
    <row r="39" spans="1:13" ht="15" customHeight="1">
      <c r="A39" s="83" t="s">
        <v>376</v>
      </c>
      <c r="B39" s="69">
        <v>111.85000000000001</v>
      </c>
      <c r="C39" s="69">
        <v>108.87029999999999</v>
      </c>
      <c r="D39" s="69">
        <v>114.3712</v>
      </c>
      <c r="E39" s="69">
        <v>118.72810000000001</v>
      </c>
      <c r="F39" s="156">
        <v>107.83319999999999</v>
      </c>
      <c r="G39" s="156">
        <v>103.32899999999999</v>
      </c>
      <c r="H39" s="156">
        <v>111.43859999999999</v>
      </c>
      <c r="I39" s="156">
        <v>107.6204</v>
      </c>
      <c r="J39" s="316">
        <v>107.26028852459018</v>
      </c>
      <c r="K39" s="316">
        <v>114.01389999999999</v>
      </c>
      <c r="L39" s="316">
        <v>119.8176</v>
      </c>
      <c r="M39" s="316"/>
    </row>
    <row r="40" spans="1:13" ht="15" customHeight="1">
      <c r="A40" s="83"/>
      <c r="B40" s="69"/>
      <c r="C40" s="69"/>
      <c r="D40" s="69"/>
      <c r="E40" s="69"/>
      <c r="F40" s="156"/>
      <c r="G40" s="156"/>
      <c r="H40" s="156"/>
      <c r="I40" s="156"/>
      <c r="J40" s="316"/>
      <c r="K40" s="316"/>
      <c r="L40" s="316"/>
      <c r="M40" s="316"/>
    </row>
    <row r="41" spans="1:13" ht="15" customHeight="1">
      <c r="A41" s="103" t="s">
        <v>515</v>
      </c>
      <c r="B41" s="75"/>
      <c r="C41" s="75"/>
      <c r="D41" s="75"/>
      <c r="E41" s="75"/>
      <c r="F41" s="162"/>
      <c r="G41" s="162"/>
      <c r="H41" s="162"/>
      <c r="I41" s="162"/>
      <c r="J41" s="325"/>
      <c r="K41" s="325"/>
      <c r="L41" s="325"/>
      <c r="M41" s="325"/>
    </row>
    <row r="42" spans="1:13" ht="15" customHeight="1">
      <c r="A42" s="95" t="s">
        <v>413</v>
      </c>
      <c r="B42" s="69">
        <v>106</v>
      </c>
      <c r="C42" s="69">
        <v>101</v>
      </c>
      <c r="D42" s="69">
        <v>96</v>
      </c>
      <c r="E42" s="69">
        <v>97.465000000000003</v>
      </c>
      <c r="F42" s="156">
        <v>95.359000000000009</v>
      </c>
      <c r="G42" s="156">
        <v>87.911000000000001</v>
      </c>
      <c r="H42" s="156">
        <v>80.853000000000009</v>
      </c>
      <c r="I42" s="156">
        <v>76.073999999999998</v>
      </c>
      <c r="J42" s="316">
        <v>75.414999999999992</v>
      </c>
      <c r="K42" s="316">
        <v>73.221999999999994</v>
      </c>
      <c r="L42" s="316">
        <v>73.855000000000004</v>
      </c>
      <c r="M42" s="316"/>
    </row>
    <row r="43" spans="1:13" ht="15" customHeight="1">
      <c r="A43" s="97" t="s">
        <v>596</v>
      </c>
      <c r="B43" s="497">
        <v>164</v>
      </c>
      <c r="C43" s="497">
        <v>161</v>
      </c>
      <c r="D43" s="497">
        <v>161</v>
      </c>
      <c r="E43" s="497">
        <v>161.41200000000001</v>
      </c>
      <c r="F43" s="498">
        <v>165.78299999999999</v>
      </c>
      <c r="G43" s="498">
        <v>165.91399999999999</v>
      </c>
      <c r="H43" s="498">
        <v>163.733</v>
      </c>
      <c r="I43" s="498">
        <v>159.17500000000001</v>
      </c>
      <c r="J43" s="499">
        <v>156.886</v>
      </c>
      <c r="K43" s="499">
        <v>154.446</v>
      </c>
      <c r="L43" s="499">
        <v>151.602</v>
      </c>
      <c r="M43" s="499"/>
    </row>
    <row r="44" spans="1:13" ht="15" customHeight="1">
      <c r="A44" s="555" t="s">
        <v>656</v>
      </c>
      <c r="B44" s="429"/>
    </row>
  </sheetData>
  <mergeCells count="3">
    <mergeCell ref="B4:E4"/>
    <mergeCell ref="F4:I4"/>
    <mergeCell ref="J4:M4"/>
  </mergeCells>
  <phoneticPr fontId="16" type="noConversion"/>
  <pageMargins left="0.49" right="0.6" top="0.6" bottom="0.61" header="0.5" footer="0.5"/>
  <pageSetup paperSize="9"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9" enableFormatConditionsCalculation="0">
    <tabColor indexed="24"/>
    <pageSetUpPr fitToPage="1"/>
  </sheetPr>
  <dimension ref="A1:V51"/>
  <sheetViews>
    <sheetView showGridLines="0" view="pageBreakPreview" zoomScale="90" zoomScaleNormal="100" zoomScaleSheetLayoutView="90" workbookViewId="0">
      <selection activeCell="A3" sqref="A3"/>
    </sheetView>
  </sheetViews>
  <sheetFormatPr defaultColWidth="11.42578125" defaultRowHeight="12.75"/>
  <cols>
    <col min="1" max="1" width="76.7109375" customWidth="1"/>
    <col min="2" max="13" width="9.7109375" customWidth="1"/>
  </cols>
  <sheetData>
    <row r="1" spans="1:22" ht="15" customHeight="1">
      <c r="B1" s="229"/>
    </row>
    <row r="2" spans="1:22" ht="15" customHeight="1"/>
    <row r="3" spans="1:22" ht="15" customHeight="1" thickBot="1">
      <c r="A3" s="92" t="s">
        <v>23</v>
      </c>
      <c r="B3" s="93"/>
      <c r="C3" s="93"/>
      <c r="D3" s="93"/>
      <c r="E3" s="93"/>
      <c r="F3" s="93"/>
      <c r="G3" s="93"/>
      <c r="H3" s="93"/>
      <c r="I3" s="93"/>
      <c r="J3" s="93"/>
      <c r="K3" s="93"/>
      <c r="L3" s="93"/>
      <c r="M3" s="93"/>
    </row>
    <row r="4" spans="1:22" ht="15" customHeight="1" thickBot="1">
      <c r="A4" s="78"/>
      <c r="B4" s="576">
        <v>2014</v>
      </c>
      <c r="C4" s="577"/>
      <c r="D4" s="577"/>
      <c r="E4" s="578"/>
      <c r="F4" s="579">
        <v>2015</v>
      </c>
      <c r="G4" s="580"/>
      <c r="H4" s="580"/>
      <c r="I4" s="581"/>
      <c r="J4" s="582">
        <v>2016</v>
      </c>
      <c r="K4" s="583"/>
      <c r="L4" s="583"/>
      <c r="M4" s="583"/>
    </row>
    <row r="5" spans="1:22" ht="15" customHeight="1" thickBot="1">
      <c r="A5" s="191" t="s">
        <v>527</v>
      </c>
      <c r="B5" s="80" t="s">
        <v>510</v>
      </c>
      <c r="C5" s="80" t="s">
        <v>511</v>
      </c>
      <c r="D5" s="80" t="s">
        <v>513</v>
      </c>
      <c r="E5" s="81" t="s">
        <v>514</v>
      </c>
      <c r="F5" s="308" t="s">
        <v>510</v>
      </c>
      <c r="G5" s="308" t="s">
        <v>511</v>
      </c>
      <c r="H5" s="308" t="s">
        <v>513</v>
      </c>
      <c r="I5" s="309" t="s">
        <v>514</v>
      </c>
      <c r="J5" s="235" t="s">
        <v>510</v>
      </c>
      <c r="K5" s="235" t="s">
        <v>511</v>
      </c>
      <c r="L5" s="235" t="s">
        <v>513</v>
      </c>
      <c r="M5" s="235" t="s">
        <v>514</v>
      </c>
    </row>
    <row r="6" spans="1:22" ht="15" customHeight="1">
      <c r="A6" s="82" t="s">
        <v>61</v>
      </c>
      <c r="B6" s="69">
        <v>1433.8857941076499</v>
      </c>
      <c r="C6" s="69">
        <v>1382.8033074834502</v>
      </c>
      <c r="D6" s="69">
        <v>1395.3866818834599</v>
      </c>
      <c r="E6" s="69">
        <v>1424.3966664277796</v>
      </c>
      <c r="F6" s="156">
        <v>1415.9586777480902</v>
      </c>
      <c r="G6" s="156">
        <v>1408.7207009258898</v>
      </c>
      <c r="H6" s="156">
        <v>1545.1674224449007</v>
      </c>
      <c r="I6" s="156">
        <v>1574.5373120846389</v>
      </c>
      <c r="J6" s="316">
        <v>1578.16798376424</v>
      </c>
      <c r="K6" s="316">
        <v>1567.0074948941301</v>
      </c>
      <c r="L6" s="316">
        <v>1545.8703017064895</v>
      </c>
      <c r="M6" s="316"/>
      <c r="N6" s="153" t="str">
        <f>IF(A6&lt;&gt;Norway!A6,"X","")</f>
        <v/>
      </c>
    </row>
    <row r="7" spans="1:22" ht="15" customHeight="1">
      <c r="A7" s="83" t="s">
        <v>140</v>
      </c>
      <c r="B7" s="69">
        <v>127.27441772499999</v>
      </c>
      <c r="C7" s="69">
        <v>130.17671925260004</v>
      </c>
      <c r="D7" s="69">
        <v>123.87688296239997</v>
      </c>
      <c r="E7" s="69">
        <v>133.23502396399999</v>
      </c>
      <c r="F7" s="156">
        <v>132.53110756900003</v>
      </c>
      <c r="G7" s="156">
        <v>135.22197852379998</v>
      </c>
      <c r="H7" s="156">
        <v>139.40180105579998</v>
      </c>
      <c r="I7" s="156">
        <v>144.44260055019993</v>
      </c>
      <c r="J7" s="316">
        <v>143.88192768669998</v>
      </c>
      <c r="K7" s="316">
        <v>147.16152290607002</v>
      </c>
      <c r="L7" s="316">
        <v>139.23909580090998</v>
      </c>
      <c r="M7" s="316"/>
      <c r="N7" s="153" t="str">
        <f>IF(A7&lt;&gt;Norway!A7,"X","")</f>
        <v/>
      </c>
    </row>
    <row r="8" spans="1:22" ht="18" customHeight="1">
      <c r="A8" s="84" t="s">
        <v>6</v>
      </c>
      <c r="B8" s="70">
        <v>1561.1602118326498</v>
      </c>
      <c r="C8" s="70">
        <v>1512.9800267360504</v>
      </c>
      <c r="D8" s="70">
        <v>1519.2635648458595</v>
      </c>
      <c r="E8" s="70">
        <v>1557.6316903917796</v>
      </c>
      <c r="F8" s="157">
        <v>1548.4897853170901</v>
      </c>
      <c r="G8" s="157">
        <v>1543.9426794496899</v>
      </c>
      <c r="H8" s="157">
        <v>1684.5692235007009</v>
      </c>
      <c r="I8" s="157">
        <v>1718.9799126348389</v>
      </c>
      <c r="J8" s="317">
        <v>1722.04991145094</v>
      </c>
      <c r="K8" s="317">
        <v>1714.1690178002002</v>
      </c>
      <c r="L8" s="317">
        <v>1685.1093975073991</v>
      </c>
      <c r="M8" s="317"/>
      <c r="N8" s="153" t="str">
        <f>IF(A8&lt;&gt;Norway!A8,"X","")</f>
        <v/>
      </c>
    </row>
    <row r="9" spans="1:22" ht="15" customHeight="1">
      <c r="A9" s="83" t="s">
        <v>550</v>
      </c>
      <c r="B9" s="69">
        <v>67.804878830000007</v>
      </c>
      <c r="C9" s="69">
        <v>82.931345690799986</v>
      </c>
      <c r="D9" s="69">
        <v>86.242657599200015</v>
      </c>
      <c r="E9" s="69">
        <v>95.496092465600015</v>
      </c>
      <c r="F9" s="156">
        <v>82.373086893999997</v>
      </c>
      <c r="G9" s="156">
        <v>90.504342165199986</v>
      </c>
      <c r="H9" s="156">
        <v>99.566034546599951</v>
      </c>
      <c r="I9" s="156">
        <v>94.297490626600052</v>
      </c>
      <c r="J9" s="316">
        <v>80.384773513099987</v>
      </c>
      <c r="K9" s="316">
        <v>90.336251317802038</v>
      </c>
      <c r="L9" s="316">
        <v>93.89140133762595</v>
      </c>
      <c r="M9" s="316"/>
      <c r="N9" s="153" t="str">
        <f>IF(A9&lt;&gt;Norway!A9,"X","")</f>
        <v/>
      </c>
    </row>
    <row r="10" spans="1:22" ht="18" customHeight="1">
      <c r="A10" s="84" t="s">
        <v>60</v>
      </c>
      <c r="B10" s="71">
        <v>1628.9650906626498</v>
      </c>
      <c r="C10" s="71">
        <v>1595.9113724268504</v>
      </c>
      <c r="D10" s="71">
        <v>1605.5062224450594</v>
      </c>
      <c r="E10" s="71">
        <v>1653.1277828573793</v>
      </c>
      <c r="F10" s="158">
        <v>1630.86287221109</v>
      </c>
      <c r="G10" s="158">
        <v>1634.44702161489</v>
      </c>
      <c r="H10" s="158">
        <v>1784.1352580473003</v>
      </c>
      <c r="I10" s="158">
        <v>1813.2774032614398</v>
      </c>
      <c r="J10" s="318">
        <v>1802.4346849640401</v>
      </c>
      <c r="K10" s="318">
        <v>1804.5052691180022</v>
      </c>
      <c r="L10" s="318">
        <v>1779.0007988450252</v>
      </c>
      <c r="M10" s="318"/>
      <c r="N10" s="153" t="str">
        <f>IF(A10&lt;&gt;Norway!A10,"X","")</f>
        <v/>
      </c>
    </row>
    <row r="11" spans="1:22" ht="15" customHeight="1">
      <c r="A11" s="83" t="s">
        <v>136</v>
      </c>
      <c r="B11" s="72">
        <v>451.11325630003796</v>
      </c>
      <c r="C11" s="72">
        <v>463.01344396313402</v>
      </c>
      <c r="D11" s="72">
        <v>526.22479119251796</v>
      </c>
      <c r="E11" s="72">
        <v>672.04687731841022</v>
      </c>
      <c r="F11" s="159">
        <v>582.88979559530992</v>
      </c>
      <c r="G11" s="159">
        <v>596.50478570435018</v>
      </c>
      <c r="H11" s="159">
        <v>616.30787710667005</v>
      </c>
      <c r="I11" s="159">
        <v>757.7325493267499</v>
      </c>
      <c r="J11" s="319">
        <v>490.83923130212497</v>
      </c>
      <c r="K11" s="319">
        <v>451.86787848366805</v>
      </c>
      <c r="L11" s="319">
        <v>491.89664484078696</v>
      </c>
      <c r="M11" s="319"/>
      <c r="N11" s="153" t="str">
        <f>IF(A11&lt;&gt;Norway!A11,"X","")</f>
        <v/>
      </c>
    </row>
    <row r="12" spans="1:22" ht="18" customHeight="1">
      <c r="A12" s="85" t="s">
        <v>7</v>
      </c>
      <c r="B12" s="73">
        <v>2080.0783469626876</v>
      </c>
      <c r="C12" s="73">
        <v>2058.9248163899847</v>
      </c>
      <c r="D12" s="73">
        <v>2131.7310136375772</v>
      </c>
      <c r="E12" s="73">
        <v>2325.1746601757905</v>
      </c>
      <c r="F12" s="160">
        <v>2213.7526678064</v>
      </c>
      <c r="G12" s="160">
        <v>2230.9518073192398</v>
      </c>
      <c r="H12" s="160">
        <v>2400.4431351539706</v>
      </c>
      <c r="I12" s="160">
        <v>2571.0099525881897</v>
      </c>
      <c r="J12" s="320">
        <v>2293.2739162661651</v>
      </c>
      <c r="K12" s="320">
        <v>2256.3731476016706</v>
      </c>
      <c r="L12" s="320">
        <v>2270.8974436858116</v>
      </c>
      <c r="M12" s="320"/>
      <c r="N12" s="153" t="str">
        <f>IF(A12&lt;&gt;Norway!A12,"X","")</f>
        <v/>
      </c>
    </row>
    <row r="13" spans="1:22" ht="15" customHeight="1">
      <c r="A13" s="88"/>
      <c r="B13" s="71"/>
      <c r="C13" s="71"/>
      <c r="D13" s="71"/>
      <c r="E13" s="71"/>
      <c r="F13" s="158"/>
      <c r="G13" s="158"/>
      <c r="H13" s="158"/>
      <c r="I13" s="158"/>
      <c r="J13" s="318"/>
      <c r="K13" s="318"/>
      <c r="L13" s="318"/>
      <c r="M13" s="318"/>
      <c r="N13" s="153" t="str">
        <f>IF(A13&lt;&gt;Norway!A13,"X","")</f>
        <v/>
      </c>
    </row>
    <row r="14" spans="1:22" s="405" customFormat="1" ht="15" customHeight="1">
      <c r="A14" s="196" t="s">
        <v>57</v>
      </c>
      <c r="B14" s="69"/>
      <c r="C14" s="69"/>
      <c r="D14" s="69"/>
      <c r="E14" s="69"/>
      <c r="F14" s="156">
        <v>115.12344329359999</v>
      </c>
      <c r="G14" s="156">
        <v>105.02467418564802</v>
      </c>
      <c r="H14" s="156">
        <v>101.13017129065202</v>
      </c>
      <c r="I14" s="156">
        <v>100.27978572716796</v>
      </c>
      <c r="J14" s="472">
        <v>97.599980066868994</v>
      </c>
      <c r="K14" s="472">
        <v>95.452726066261988</v>
      </c>
      <c r="L14" s="472">
        <v>77.944182073306024</v>
      </c>
      <c r="M14" s="472"/>
      <c r="N14" s="504"/>
      <c r="O14" s="504"/>
      <c r="P14" s="504"/>
      <c r="Q14" s="504"/>
      <c r="R14" s="504"/>
      <c r="S14" s="504"/>
      <c r="T14" s="504"/>
      <c r="U14" s="504"/>
      <c r="V14" s="504"/>
    </row>
    <row r="15" spans="1:22" s="405" customFormat="1" ht="15" customHeight="1">
      <c r="A15" s="196" t="s">
        <v>581</v>
      </c>
      <c r="B15" s="69"/>
      <c r="C15" s="69"/>
      <c r="D15" s="69"/>
      <c r="E15" s="69"/>
      <c r="F15" s="156">
        <v>568.47823992778001</v>
      </c>
      <c r="G15" s="156">
        <v>566.52637280155011</v>
      </c>
      <c r="H15" s="156">
        <v>579.06062230765974</v>
      </c>
      <c r="I15" s="156">
        <v>629.39593329965987</v>
      </c>
      <c r="J15" s="472">
        <v>620.57948470515896</v>
      </c>
      <c r="K15" s="472">
        <v>617.58423454769115</v>
      </c>
      <c r="L15" s="472">
        <v>616.95902487700982</v>
      </c>
      <c r="M15" s="472"/>
      <c r="N15" s="153"/>
    </row>
    <row r="16" spans="1:22" s="405" customFormat="1" ht="15" customHeight="1">
      <c r="A16" s="196" t="s">
        <v>2</v>
      </c>
      <c r="B16" s="69"/>
      <c r="C16" s="69"/>
      <c r="D16" s="69"/>
      <c r="E16" s="69"/>
      <c r="F16" s="156">
        <v>39.257286145000009</v>
      </c>
      <c r="G16" s="156">
        <v>39.053565344599988</v>
      </c>
      <c r="H16" s="156">
        <v>41.008309258799997</v>
      </c>
      <c r="I16" s="156">
        <v>42.575976798799999</v>
      </c>
      <c r="J16" s="472">
        <v>46.679349880800004</v>
      </c>
      <c r="K16" s="472">
        <v>44.123122028968993</v>
      </c>
      <c r="L16" s="472">
        <v>42.517090494811015</v>
      </c>
      <c r="M16" s="472"/>
      <c r="N16" s="153"/>
    </row>
    <row r="17" spans="1:14" s="405" customFormat="1" ht="15" customHeight="1">
      <c r="A17" s="196" t="s">
        <v>3</v>
      </c>
      <c r="B17" s="69"/>
      <c r="C17" s="69"/>
      <c r="D17" s="69"/>
      <c r="E17" s="69"/>
      <c r="F17" s="156">
        <v>7.6571899278000002</v>
      </c>
      <c r="G17" s="156">
        <v>10.624957334087998</v>
      </c>
      <c r="H17" s="156">
        <v>19.575879964656004</v>
      </c>
      <c r="I17" s="156">
        <v>17.271879387963999</v>
      </c>
      <c r="J17" s="472">
        <v>14.739339821563</v>
      </c>
      <c r="K17" s="472">
        <v>18.586036271632501</v>
      </c>
      <c r="L17" s="472">
        <v>17.2021838692107</v>
      </c>
      <c r="M17" s="472"/>
      <c r="N17" s="153"/>
    </row>
    <row r="18" spans="1:14" s="405" customFormat="1" ht="18" customHeight="1">
      <c r="A18" s="197" t="s">
        <v>4</v>
      </c>
      <c r="B18" s="73"/>
      <c r="C18" s="73"/>
      <c r="D18" s="73"/>
      <c r="E18" s="73"/>
      <c r="F18" s="160">
        <v>730.51615929417994</v>
      </c>
      <c r="G18" s="160">
        <v>721.22956966587981</v>
      </c>
      <c r="H18" s="160">
        <v>740.77498282177021</v>
      </c>
      <c r="I18" s="160">
        <v>789.5235752136</v>
      </c>
      <c r="J18" s="474">
        <v>779.59815447439098</v>
      </c>
      <c r="K18" s="474">
        <v>775.74611891454913</v>
      </c>
      <c r="L18" s="474">
        <v>754.6224813143499</v>
      </c>
      <c r="M18" s="474"/>
      <c r="N18" s="153"/>
    </row>
    <row r="19" spans="1:14" s="405" customFormat="1" ht="15" customHeight="1">
      <c r="A19" s="196" t="s">
        <v>5</v>
      </c>
      <c r="B19" s="69"/>
      <c r="C19" s="69"/>
      <c r="D19" s="69"/>
      <c r="E19" s="69"/>
      <c r="F19" s="156">
        <v>39.68513224102</v>
      </c>
      <c r="G19" s="156">
        <v>44.073022368308003</v>
      </c>
      <c r="H19" s="156">
        <v>46.331919171749988</v>
      </c>
      <c r="I19" s="156">
        <v>48.086000812766031</v>
      </c>
      <c r="J19" s="472">
        <v>47.9276062307</v>
      </c>
      <c r="K19" s="472">
        <v>48.287985990979998</v>
      </c>
      <c r="L19" s="472">
        <v>46.17878902282402</v>
      </c>
      <c r="M19" s="472"/>
      <c r="N19" s="153"/>
    </row>
    <row r="20" spans="1:14" ht="18" customHeight="1">
      <c r="A20" s="84" t="s">
        <v>701</v>
      </c>
      <c r="B20" s="70">
        <v>804.38979114536301</v>
      </c>
      <c r="C20" s="70">
        <v>779.50989410075704</v>
      </c>
      <c r="D20" s="70">
        <v>759.50213776202008</v>
      </c>
      <c r="E20" s="70">
        <v>788.37348795255002</v>
      </c>
      <c r="F20" s="157">
        <v>770.20129153519997</v>
      </c>
      <c r="G20" s="157">
        <v>765.30259203419018</v>
      </c>
      <c r="H20" s="157">
        <v>787.10690199352007</v>
      </c>
      <c r="I20" s="157">
        <v>837.60957602636017</v>
      </c>
      <c r="J20" s="317">
        <v>827.52576070509099</v>
      </c>
      <c r="K20" s="317">
        <v>824.03410490552892</v>
      </c>
      <c r="L20" s="317">
        <v>800.80127033717008</v>
      </c>
      <c r="M20" s="317"/>
      <c r="N20" s="153"/>
    </row>
    <row r="21" spans="1:14" ht="18" customHeight="1">
      <c r="A21" s="558" t="s">
        <v>381</v>
      </c>
      <c r="B21" s="73">
        <v>2884.4681381080482</v>
      </c>
      <c r="C21" s="73">
        <v>2838.4347104907447</v>
      </c>
      <c r="D21" s="73">
        <v>2891.2331513995905</v>
      </c>
      <c r="E21" s="73">
        <v>3113.5481481283241</v>
      </c>
      <c r="F21" s="160">
        <v>2983.9539593416002</v>
      </c>
      <c r="G21" s="160">
        <v>2996.25439935343</v>
      </c>
      <c r="H21" s="160">
        <v>3187.5500371474991</v>
      </c>
      <c r="I21" s="160">
        <v>3408.6195286145794</v>
      </c>
      <c r="J21" s="320">
        <v>3120.7996769712654</v>
      </c>
      <c r="K21" s="320">
        <v>3080.4072525071997</v>
      </c>
      <c r="L21" s="320">
        <v>3071.6987140229721</v>
      </c>
      <c r="M21" s="320"/>
      <c r="N21" s="153"/>
    </row>
    <row r="22" spans="1:14" ht="18" customHeight="1">
      <c r="A22" s="559" t="s">
        <v>386</v>
      </c>
      <c r="B22" s="69">
        <v>30.172839677500001</v>
      </c>
      <c r="C22" s="69">
        <v>32.002800448100004</v>
      </c>
      <c r="D22" s="69">
        <v>16.906770118399997</v>
      </c>
      <c r="E22" s="69">
        <v>27.329503666400001</v>
      </c>
      <c r="F22" s="156">
        <v>18.731024543000004</v>
      </c>
      <c r="G22" s="156">
        <v>13.295044968999996</v>
      </c>
      <c r="H22" s="156">
        <v>22.581147916800006</v>
      </c>
      <c r="I22" s="156">
        <v>9.0961665554039968</v>
      </c>
      <c r="J22" s="316">
        <v>14.281864939706001</v>
      </c>
      <c r="K22" s="316">
        <v>14.741999685288899</v>
      </c>
      <c r="L22" s="316">
        <v>19.3990330614429</v>
      </c>
      <c r="M22" s="316"/>
      <c r="N22" s="153"/>
    </row>
    <row r="23" spans="1:14" ht="15" customHeight="1">
      <c r="A23" s="66"/>
      <c r="B23" s="69"/>
      <c r="C23" s="69"/>
      <c r="D23" s="69"/>
      <c r="E23" s="69"/>
      <c r="F23" s="156"/>
      <c r="G23" s="156"/>
      <c r="H23" s="156"/>
      <c r="I23" s="156"/>
      <c r="J23" s="316"/>
      <c r="K23" s="316"/>
      <c r="L23" s="316"/>
      <c r="M23" s="316"/>
      <c r="N23" s="153"/>
    </row>
    <row r="24" spans="1:14" ht="18" customHeight="1">
      <c r="A24" s="87" t="s">
        <v>548</v>
      </c>
      <c r="B24" s="71">
        <v>849.73134682747195</v>
      </c>
      <c r="C24" s="71">
        <v>889.96472450156807</v>
      </c>
      <c r="D24" s="71">
        <v>963.6782461039902</v>
      </c>
      <c r="E24" s="71">
        <v>785.17351795994955</v>
      </c>
      <c r="F24" s="158">
        <v>853.98748143754699</v>
      </c>
      <c r="G24" s="158">
        <v>836.67848189077301</v>
      </c>
      <c r="H24" s="158">
        <v>1022.5118345771496</v>
      </c>
      <c r="I24" s="158">
        <v>953.71493656994062</v>
      </c>
      <c r="J24" s="318">
        <v>893.451718262192</v>
      </c>
      <c r="K24" s="318">
        <v>989.32817275558807</v>
      </c>
      <c r="L24" s="318">
        <v>1037.6714899883002</v>
      </c>
      <c r="M24" s="318"/>
      <c r="N24" s="153"/>
    </row>
    <row r="25" spans="1:14" ht="15" customHeight="1">
      <c r="A25" s="83" t="s">
        <v>477</v>
      </c>
      <c r="B25" s="69">
        <v>10.598899717869401</v>
      </c>
      <c r="C25" s="69">
        <v>-8.2336035323132002</v>
      </c>
      <c r="D25" s="69">
        <v>5.2217158174026004</v>
      </c>
      <c r="E25" s="69">
        <v>-62.550540622554401</v>
      </c>
      <c r="F25" s="156">
        <v>2.94109840003498</v>
      </c>
      <c r="G25" s="156">
        <v>-60.819131562900282</v>
      </c>
      <c r="H25" s="156">
        <v>-2.261857922946902</v>
      </c>
      <c r="I25" s="156">
        <v>9.7712066316780479</v>
      </c>
      <c r="J25" s="316">
        <v>-0.54924125223284292</v>
      </c>
      <c r="K25" s="316">
        <v>-1.1977387270530371</v>
      </c>
      <c r="L25" s="316">
        <v>-0.76788051033029969</v>
      </c>
      <c r="M25" s="316"/>
      <c r="N25" s="153"/>
    </row>
    <row r="26" spans="1:14" s="68" customFormat="1" ht="18" customHeight="1">
      <c r="A26" s="88" t="s">
        <v>535</v>
      </c>
      <c r="B26" s="71">
        <v>860.33024654534131</v>
      </c>
      <c r="C26" s="71">
        <v>881.7311209692549</v>
      </c>
      <c r="D26" s="71">
        <v>968.89996192139301</v>
      </c>
      <c r="E26" s="71">
        <v>722.62297733739479</v>
      </c>
      <c r="F26" s="158">
        <v>856.92857983758199</v>
      </c>
      <c r="G26" s="158">
        <v>775.85935032787279</v>
      </c>
      <c r="H26" s="158">
        <v>1020.2499766542028</v>
      </c>
      <c r="I26" s="158">
        <v>963.48614320161823</v>
      </c>
      <c r="J26" s="318">
        <v>892.90247700995917</v>
      </c>
      <c r="K26" s="318">
        <v>988.13043402853498</v>
      </c>
      <c r="L26" s="318">
        <v>1036.9036094779699</v>
      </c>
      <c r="M26" s="318"/>
      <c r="N26" s="153"/>
    </row>
    <row r="27" spans="1:14" ht="15" customHeight="1">
      <c r="A27" s="83" t="s">
        <v>143</v>
      </c>
      <c r="B27" s="69">
        <v>-389.15557423986598</v>
      </c>
      <c r="C27" s="69">
        <v>-375.05069019106708</v>
      </c>
      <c r="D27" s="69">
        <v>-387.25733790610684</v>
      </c>
      <c r="E27" s="69">
        <v>-381.73928217633011</v>
      </c>
      <c r="F27" s="156">
        <v>-365.84193678191599</v>
      </c>
      <c r="G27" s="156">
        <v>-359.80282687411892</v>
      </c>
      <c r="H27" s="156">
        <v>-378.9839502442851</v>
      </c>
      <c r="I27" s="156">
        <v>-417.75057298518004</v>
      </c>
      <c r="J27" s="316">
        <v>-413.65539041922</v>
      </c>
      <c r="K27" s="316">
        <v>-401.15561658915999</v>
      </c>
      <c r="L27" s="316">
        <v>-387.03881494049995</v>
      </c>
      <c r="M27" s="316"/>
      <c r="N27" s="153"/>
    </row>
    <row r="28" spans="1:14" ht="15" customHeight="1">
      <c r="A28" s="89" t="s">
        <v>43</v>
      </c>
      <c r="B28" s="69">
        <v>0</v>
      </c>
      <c r="C28" s="69">
        <v>0</v>
      </c>
      <c r="D28" s="69">
        <v>0</v>
      </c>
      <c r="E28" s="69">
        <v>0</v>
      </c>
      <c r="F28" s="156">
        <v>0</v>
      </c>
      <c r="G28" s="156">
        <v>0</v>
      </c>
      <c r="H28" s="156">
        <v>0</v>
      </c>
      <c r="I28" s="156">
        <v>0</v>
      </c>
      <c r="J28" s="316">
        <v>0</v>
      </c>
      <c r="K28" s="316">
        <v>0</v>
      </c>
      <c r="L28" s="316">
        <v>0</v>
      </c>
      <c r="M28" s="316"/>
      <c r="N28" s="153"/>
    </row>
    <row r="29" spans="1:14" ht="18" customHeight="1">
      <c r="A29" s="84" t="s">
        <v>534</v>
      </c>
      <c r="B29" s="73">
        <v>471.17469054285033</v>
      </c>
      <c r="C29" s="73">
        <v>506.68042896311277</v>
      </c>
      <c r="D29" s="73">
        <v>581.64262238638617</v>
      </c>
      <c r="E29" s="73">
        <v>340.88369464878474</v>
      </c>
      <c r="F29" s="160">
        <v>491.08664156606602</v>
      </c>
      <c r="G29" s="160">
        <v>416.05652290527388</v>
      </c>
      <c r="H29" s="160">
        <v>641.2660248706776</v>
      </c>
      <c r="I29" s="160">
        <v>545.7355695820786</v>
      </c>
      <c r="J29" s="320">
        <v>479.24708495665919</v>
      </c>
      <c r="K29" s="320">
        <v>586.97481684484865</v>
      </c>
      <c r="L29" s="320">
        <v>649.8647929648148</v>
      </c>
      <c r="M29" s="320"/>
      <c r="N29" s="153"/>
    </row>
    <row r="30" spans="1:14" ht="15" customHeight="1">
      <c r="A30" s="83"/>
      <c r="B30" s="281"/>
      <c r="C30" s="281"/>
      <c r="D30" s="281"/>
      <c r="E30" s="281"/>
      <c r="F30" s="282"/>
      <c r="G30" s="282"/>
      <c r="H30" s="282"/>
      <c r="I30" s="282"/>
      <c r="J30" s="322"/>
      <c r="K30" s="322"/>
      <c r="L30" s="322"/>
      <c r="M30" s="322"/>
      <c r="N30" s="153"/>
    </row>
    <row r="31" spans="1:14" ht="15" customHeight="1">
      <c r="A31" s="83" t="s">
        <v>479</v>
      </c>
      <c r="B31" s="74">
        <v>29.458857097475839</v>
      </c>
      <c r="C31" s="74">
        <v>31.35406712764232</v>
      </c>
      <c r="D31" s="74">
        <v>33.331045807823969</v>
      </c>
      <c r="E31" s="74">
        <v>25.217966146820249</v>
      </c>
      <c r="F31" s="161">
        <v>28.619324998766952</v>
      </c>
      <c r="G31" s="161">
        <v>27.92414696400019</v>
      </c>
      <c r="H31" s="161">
        <v>32.078299090551162</v>
      </c>
      <c r="I31" s="161">
        <v>27.979506910751478</v>
      </c>
      <c r="J31" s="323">
        <v>28.628935232692875</v>
      </c>
      <c r="K31" s="323">
        <v>32.116797931518818</v>
      </c>
      <c r="L31" s="323">
        <v>33.78168194852914</v>
      </c>
      <c r="M31" s="323"/>
      <c r="N31" s="153"/>
    </row>
    <row r="32" spans="1:14" ht="15" customHeight="1">
      <c r="A32" s="83" t="s">
        <v>62</v>
      </c>
      <c r="B32" s="74">
        <v>29.826304377542566</v>
      </c>
      <c r="C32" s="74">
        <v>31.063991632797151</v>
      </c>
      <c r="D32" s="74">
        <v>33.511650952548301</v>
      </c>
      <c r="E32" s="74">
        <v>23.208986755891083</v>
      </c>
      <c r="F32" s="161">
        <v>28.717888798346625</v>
      </c>
      <c r="G32" s="161">
        <v>25.894308256845534</v>
      </c>
      <c r="H32" s="161">
        <v>32.00733995589956</v>
      </c>
      <c r="I32" s="161">
        <v>28.266168609120879</v>
      </c>
      <c r="J32" s="323">
        <v>28.611335857241581</v>
      </c>
      <c r="K32" s="323">
        <v>32.077915451740274</v>
      </c>
      <c r="L32" s="323">
        <v>33.756683386436293</v>
      </c>
      <c r="M32" s="323"/>
      <c r="N32" s="153"/>
    </row>
    <row r="33" spans="1:14" ht="15" customHeight="1">
      <c r="A33" s="83" t="s">
        <v>63</v>
      </c>
      <c r="B33" s="74">
        <v>16.334889760713342</v>
      </c>
      <c r="C33" s="74">
        <v>17.850698735131783</v>
      </c>
      <c r="D33" s="74">
        <v>20.117458258419045</v>
      </c>
      <c r="E33" s="74">
        <v>10.94839965310006</v>
      </c>
      <c r="F33" s="161">
        <v>16.457581057129403</v>
      </c>
      <c r="G33" s="161">
        <v>13.885887760233439</v>
      </c>
      <c r="H33" s="161">
        <v>20.117833991542263</v>
      </c>
      <c r="I33" s="161">
        <v>16.010457166039028</v>
      </c>
      <c r="J33" s="323">
        <v>15.356547505854918</v>
      </c>
      <c r="K33" s="323">
        <v>19.055104365408148</v>
      </c>
      <c r="L33" s="323">
        <v>21.156527819543001</v>
      </c>
      <c r="M33" s="323"/>
      <c r="N33" s="153"/>
    </row>
    <row r="34" spans="1:14" ht="15" customHeight="1">
      <c r="A34" s="83"/>
      <c r="B34" s="69"/>
      <c r="C34" s="69"/>
      <c r="D34" s="69"/>
      <c r="E34" s="69"/>
      <c r="F34" s="156"/>
      <c r="G34" s="156"/>
      <c r="H34" s="156"/>
      <c r="I34" s="156"/>
      <c r="J34" s="316"/>
      <c r="K34" s="316"/>
      <c r="L34" s="316"/>
      <c r="M34" s="316"/>
      <c r="N34" s="153"/>
    </row>
    <row r="35" spans="1:14" ht="15" customHeight="1">
      <c r="A35" s="83" t="s">
        <v>64</v>
      </c>
      <c r="B35" s="69">
        <v>268.61944517411206</v>
      </c>
      <c r="C35" s="69">
        <v>404.43104414907197</v>
      </c>
      <c r="D35" s="69">
        <v>317.99512534011592</v>
      </c>
      <c r="E35" s="69">
        <v>515.56410799312005</v>
      </c>
      <c r="F35" s="156">
        <v>307.61215387752497</v>
      </c>
      <c r="G35" s="156">
        <v>347.83906886291504</v>
      </c>
      <c r="H35" s="156">
        <v>254.63433976656609</v>
      </c>
      <c r="I35" s="156">
        <v>391.93555738223392</v>
      </c>
      <c r="J35" s="316">
        <v>335.63182813755105</v>
      </c>
      <c r="K35" s="316">
        <v>335.94236311170192</v>
      </c>
      <c r="L35" s="316">
        <v>295.49284899322697</v>
      </c>
      <c r="M35" s="316"/>
      <c r="N35" s="153"/>
    </row>
    <row r="36" spans="1:14" ht="15" customHeight="1">
      <c r="A36" s="83" t="s">
        <v>0</v>
      </c>
      <c r="B36" s="69">
        <v>747.62493000000006</v>
      </c>
      <c r="C36" s="69">
        <v>2.2490172000000257</v>
      </c>
      <c r="D36" s="69">
        <v>1.0872287999999344</v>
      </c>
      <c r="E36" s="69">
        <v>3.5199664000000439</v>
      </c>
      <c r="F36" s="156">
        <v>3.0257499999999999</v>
      </c>
      <c r="G36" s="156">
        <v>0</v>
      </c>
      <c r="H36" s="156">
        <v>0</v>
      </c>
      <c r="I36" s="156">
        <v>0</v>
      </c>
      <c r="J36" s="316">
        <v>0</v>
      </c>
      <c r="K36" s="316">
        <v>0</v>
      </c>
      <c r="L36" s="316">
        <v>0</v>
      </c>
      <c r="M36" s="316"/>
      <c r="N36" s="153"/>
    </row>
    <row r="37" spans="1:14" s="190" customFormat="1" ht="15" customHeight="1">
      <c r="A37" s="196" t="s">
        <v>480</v>
      </c>
      <c r="B37" s="270">
        <v>268.61944517411206</v>
      </c>
      <c r="C37" s="270">
        <v>404.43104414907197</v>
      </c>
      <c r="D37" s="270">
        <v>317.99512534011592</v>
      </c>
      <c r="E37" s="270">
        <v>515.56410799312005</v>
      </c>
      <c r="F37" s="207">
        <v>307.61215387752497</v>
      </c>
      <c r="G37" s="207">
        <v>347.83906886291504</v>
      </c>
      <c r="H37" s="207">
        <v>254.63433976656609</v>
      </c>
      <c r="I37" s="207">
        <v>391.93555738223392</v>
      </c>
      <c r="J37" s="316">
        <v>335.63182813755105</v>
      </c>
      <c r="K37" s="316">
        <v>335.94236311170192</v>
      </c>
      <c r="L37" s="316">
        <v>295.49284899322697</v>
      </c>
      <c r="M37" s="316"/>
      <c r="N37" s="153"/>
    </row>
    <row r="38" spans="1:14" ht="15" customHeight="1">
      <c r="A38" s="83"/>
      <c r="B38" s="69"/>
      <c r="C38" s="69"/>
      <c r="D38" s="69"/>
      <c r="E38" s="69"/>
      <c r="F38" s="156"/>
      <c r="G38" s="156"/>
      <c r="H38" s="156"/>
      <c r="I38" s="156"/>
      <c r="J38" s="316"/>
      <c r="K38" s="316"/>
      <c r="L38" s="316"/>
      <c r="M38" s="316"/>
      <c r="N38" s="153"/>
    </row>
    <row r="39" spans="1:14" ht="15" customHeight="1">
      <c r="A39" s="102" t="s">
        <v>139</v>
      </c>
      <c r="B39" s="69"/>
      <c r="C39" s="69"/>
      <c r="D39" s="69"/>
      <c r="E39" s="69"/>
      <c r="F39" s="156"/>
      <c r="G39" s="156"/>
      <c r="H39" s="156"/>
      <c r="I39" s="156"/>
      <c r="J39" s="316"/>
      <c r="K39" s="316"/>
      <c r="L39" s="316"/>
      <c r="M39" s="316"/>
      <c r="N39" s="153"/>
    </row>
    <row r="40" spans="1:14" ht="15" customHeight="1">
      <c r="A40" s="91" t="s">
        <v>411</v>
      </c>
      <c r="B40" s="77">
        <v>2473</v>
      </c>
      <c r="C40" s="77">
        <v>2473.1570000000002</v>
      </c>
      <c r="D40" s="77">
        <v>2490.8490000000002</v>
      </c>
      <c r="E40" s="77">
        <v>2509.491</v>
      </c>
      <c r="F40" s="163">
        <v>2486.2359999999999</v>
      </c>
      <c r="G40" s="163">
        <v>2479.7359999999999</v>
      </c>
      <c r="H40" s="163">
        <v>2504.221</v>
      </c>
      <c r="I40" s="163">
        <v>2548.0250000000001</v>
      </c>
      <c r="J40" s="324">
        <v>2550.884</v>
      </c>
      <c r="K40" s="324">
        <v>2555.029</v>
      </c>
      <c r="L40" s="324">
        <v>2590.067</v>
      </c>
      <c r="M40" s="324"/>
      <c r="N40" s="153"/>
    </row>
    <row r="41" spans="1:14" ht="15" customHeight="1">
      <c r="A41" s="83" t="s">
        <v>376</v>
      </c>
      <c r="B41" s="69">
        <v>285</v>
      </c>
      <c r="C41" s="69">
        <v>279</v>
      </c>
      <c r="D41" s="69">
        <v>273.661</v>
      </c>
      <c r="E41" s="69">
        <v>254.42099999999999</v>
      </c>
      <c r="F41" s="156">
        <v>232.215</v>
      </c>
      <c r="G41" s="156">
        <v>232.00700000000001</v>
      </c>
      <c r="H41" s="156">
        <v>240.78200000000001</v>
      </c>
      <c r="I41" s="156">
        <v>244.53200000000001</v>
      </c>
      <c r="J41" s="316">
        <v>236.33799999999999</v>
      </c>
      <c r="K41" s="316">
        <v>231.416</v>
      </c>
      <c r="L41" s="316">
        <v>231.87700000000001</v>
      </c>
      <c r="M41" s="316"/>
      <c r="N41" s="153"/>
    </row>
    <row r="42" spans="1:14" ht="15" customHeight="1">
      <c r="A42" s="83" t="s">
        <v>374</v>
      </c>
      <c r="B42" s="69">
        <v>293</v>
      </c>
      <c r="C42" s="69">
        <v>306</v>
      </c>
      <c r="D42" s="69">
        <v>297.39610001280897</v>
      </c>
      <c r="E42" s="69">
        <v>351.54549915190302</v>
      </c>
      <c r="F42" s="156">
        <v>332.27825384450801</v>
      </c>
      <c r="G42" s="156">
        <v>342.49213758479999</v>
      </c>
      <c r="H42" s="156">
        <v>331.43754022444699</v>
      </c>
      <c r="I42" s="156">
        <v>352.47639481782801</v>
      </c>
      <c r="J42" s="316">
        <v>349.45237444311198</v>
      </c>
      <c r="K42" s="316">
        <v>356.13872017659997</v>
      </c>
      <c r="L42" s="316">
        <v>321.38458482208802</v>
      </c>
      <c r="M42" s="316"/>
      <c r="N42" s="153"/>
    </row>
    <row r="43" spans="1:14" ht="15" customHeight="1">
      <c r="A43" s="83" t="s">
        <v>375</v>
      </c>
      <c r="B43" s="69">
        <v>210</v>
      </c>
      <c r="C43" s="69">
        <v>204</v>
      </c>
      <c r="D43" s="69">
        <v>204.45580423325626</v>
      </c>
      <c r="E43" s="69">
        <v>208.03269105684149</v>
      </c>
      <c r="F43" s="156">
        <v>206.68200000000002</v>
      </c>
      <c r="G43" s="156">
        <v>207.58113568874984</v>
      </c>
      <c r="H43" s="156">
        <v>226.18036646266046</v>
      </c>
      <c r="I43" s="156">
        <v>226.70630973342131</v>
      </c>
      <c r="J43" s="316">
        <v>225.08787813428245</v>
      </c>
      <c r="K43" s="316">
        <v>224.13509875706251</v>
      </c>
      <c r="L43" s="316">
        <v>218.67618839793192</v>
      </c>
      <c r="M43" s="316"/>
      <c r="N43" s="153"/>
    </row>
    <row r="44" spans="1:14" ht="15" customHeight="1">
      <c r="A44" s="83" t="s">
        <v>377</v>
      </c>
      <c r="B44" s="69">
        <v>231</v>
      </c>
      <c r="C44" s="69">
        <v>223</v>
      </c>
      <c r="D44" s="69">
        <v>223.124736447402</v>
      </c>
      <c r="E44" s="69">
        <v>226.01183911588717</v>
      </c>
      <c r="F44" s="156">
        <v>222.88022265011864</v>
      </c>
      <c r="G44" s="156">
        <v>222.68690586547058</v>
      </c>
      <c r="H44" s="156">
        <v>242.01783719127795</v>
      </c>
      <c r="I44" s="156">
        <v>244.78853202145467</v>
      </c>
      <c r="J44" s="316">
        <v>242.88523809677483</v>
      </c>
      <c r="K44" s="316">
        <v>240.85156223556348</v>
      </c>
      <c r="L44" s="316">
        <v>234.46955974432049</v>
      </c>
      <c r="M44" s="316"/>
      <c r="N44" s="153"/>
    </row>
    <row r="45" spans="1:14" ht="15" customHeight="1">
      <c r="A45" s="83" t="s">
        <v>376</v>
      </c>
      <c r="B45" s="69">
        <v>53</v>
      </c>
      <c r="C45" s="69">
        <v>54</v>
      </c>
      <c r="D45" s="69">
        <v>56.278057247622051</v>
      </c>
      <c r="E45" s="69">
        <v>55.935125657842605</v>
      </c>
      <c r="F45" s="156">
        <v>55.823941088066256</v>
      </c>
      <c r="G45" s="156">
        <v>59.048473776757731</v>
      </c>
      <c r="H45" s="156">
        <v>67.8434744877637</v>
      </c>
      <c r="I45" s="156">
        <v>55.855570004987669</v>
      </c>
      <c r="J45" s="316">
        <v>54.512407437595996</v>
      </c>
      <c r="K45" s="316">
        <v>57.495171133082223</v>
      </c>
      <c r="L45" s="316">
        <v>60.29410826014734</v>
      </c>
      <c r="M45" s="316"/>
      <c r="N45" s="153"/>
    </row>
    <row r="46" spans="1:14" ht="15" customHeight="1">
      <c r="A46" s="83"/>
      <c r="B46" s="69"/>
      <c r="C46" s="69"/>
      <c r="D46" s="69"/>
      <c r="E46" s="69"/>
      <c r="F46" s="156"/>
      <c r="G46" s="156"/>
      <c r="H46" s="156"/>
      <c r="I46" s="156"/>
      <c r="J46" s="316"/>
      <c r="K46" s="316"/>
      <c r="L46" s="316"/>
      <c r="M46" s="316"/>
      <c r="N46" s="153"/>
    </row>
    <row r="47" spans="1:14" ht="15" customHeight="1">
      <c r="A47" s="103" t="s">
        <v>515</v>
      </c>
      <c r="B47" s="75"/>
      <c r="C47" s="75"/>
      <c r="D47" s="75"/>
      <c r="E47" s="75"/>
      <c r="F47" s="162"/>
      <c r="G47" s="162"/>
      <c r="H47" s="162"/>
      <c r="I47" s="162"/>
      <c r="J47" s="325"/>
      <c r="K47" s="325"/>
      <c r="L47" s="325"/>
      <c r="M47" s="325"/>
      <c r="N47" s="153"/>
    </row>
    <row r="48" spans="1:14" ht="15" customHeight="1">
      <c r="A48" s="91" t="s">
        <v>413</v>
      </c>
      <c r="B48" s="77">
        <v>340.2</v>
      </c>
      <c r="C48" s="77">
        <v>330.96200000000005</v>
      </c>
      <c r="D48" s="77">
        <v>322.18899999999996</v>
      </c>
      <c r="E48" s="77">
        <v>310.75</v>
      </c>
      <c r="F48" s="163">
        <v>289.64099999999996</v>
      </c>
      <c r="G48" s="163">
        <v>268.673</v>
      </c>
      <c r="H48" s="163">
        <v>255.17699999999999</v>
      </c>
      <c r="I48" s="163">
        <v>244.45599999999999</v>
      </c>
      <c r="J48" s="324">
        <v>235.321</v>
      </c>
      <c r="K48" s="324">
        <v>229.58199999999999</v>
      </c>
      <c r="L48" s="324">
        <v>221.887</v>
      </c>
      <c r="M48" s="324"/>
      <c r="N48" s="153"/>
    </row>
    <row r="49" spans="1:14" ht="15" customHeight="1">
      <c r="A49" s="95" t="s">
        <v>596</v>
      </c>
      <c r="B49" s="67">
        <v>658.2</v>
      </c>
      <c r="C49" s="67">
        <v>656.3</v>
      </c>
      <c r="D49" s="67">
        <v>653.79999999999995</v>
      </c>
      <c r="E49" s="67">
        <v>641.94100000000003</v>
      </c>
      <c r="F49" s="164">
        <v>636.68124999999998</v>
      </c>
      <c r="G49" s="164">
        <v>638.38300000000004</v>
      </c>
      <c r="H49" s="164">
        <v>635.84500000000003</v>
      </c>
      <c r="I49" s="164">
        <v>638.94600000000003</v>
      </c>
      <c r="J49" s="326">
        <v>639.66300000000001</v>
      </c>
      <c r="K49" s="326">
        <v>646.80200000000002</v>
      </c>
      <c r="L49" s="326">
        <v>651.06399999999996</v>
      </c>
      <c r="M49" s="326"/>
      <c r="N49" s="153"/>
    </row>
    <row r="50" spans="1:14" ht="15" customHeight="1">
      <c r="A50" s="97" t="s">
        <v>597</v>
      </c>
      <c r="B50" s="497">
        <v>521</v>
      </c>
      <c r="C50" s="497">
        <v>517</v>
      </c>
      <c r="D50" s="497">
        <v>516.94399999999996</v>
      </c>
      <c r="E50" s="497">
        <v>520.39099999999996</v>
      </c>
      <c r="F50" s="498">
        <v>517.12900000000002</v>
      </c>
      <c r="G50" s="498">
        <v>489.93599999999998</v>
      </c>
      <c r="H50" s="498">
        <v>484.16500000000002</v>
      </c>
      <c r="I50" s="498">
        <v>487.43299999999999</v>
      </c>
      <c r="J50" s="499">
        <v>483.93700000000001</v>
      </c>
      <c r="K50" s="499">
        <v>487.19400000000002</v>
      </c>
      <c r="L50" s="499">
        <v>490.39100000000002</v>
      </c>
      <c r="M50" s="499"/>
      <c r="N50" s="153"/>
    </row>
    <row r="51" spans="1:14" ht="15" customHeight="1">
      <c r="A51" s="7"/>
    </row>
  </sheetData>
  <mergeCells count="3">
    <mergeCell ref="B4:E4"/>
    <mergeCell ref="F4:I4"/>
    <mergeCell ref="J4:M4"/>
  </mergeCells>
  <phoneticPr fontId="16" type="noConversion"/>
  <pageMargins left="0.53" right="0.52" top="0.67" bottom="0.984251969" header="0.5" footer="0.5"/>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24"/>
    <pageSetUpPr fitToPage="1"/>
  </sheetPr>
  <dimension ref="A1:N49"/>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4" ht="15" customHeight="1"/>
    <row r="2" spans="1:14" ht="15" customHeight="1"/>
    <row r="3" spans="1:14" ht="15" customHeight="1" thickBot="1">
      <c r="A3" s="92" t="s">
        <v>609</v>
      </c>
      <c r="B3" s="303"/>
      <c r="C3" s="303"/>
      <c r="D3" s="303"/>
      <c r="E3" s="303"/>
      <c r="F3" s="305"/>
      <c r="G3" s="305"/>
      <c r="H3" s="305"/>
      <c r="I3" s="305"/>
      <c r="J3" s="393"/>
      <c r="K3" s="393"/>
      <c r="L3" s="393"/>
      <c r="M3" s="393"/>
    </row>
    <row r="4" spans="1:14" ht="15" customHeight="1" thickBot="1">
      <c r="A4" s="78"/>
      <c r="B4" s="576">
        <v>2014</v>
      </c>
      <c r="C4" s="577"/>
      <c r="D4" s="577"/>
      <c r="E4" s="578"/>
      <c r="F4" s="579">
        <v>2015</v>
      </c>
      <c r="G4" s="580"/>
      <c r="H4" s="580"/>
      <c r="I4" s="581"/>
      <c r="J4" s="582">
        <v>2016</v>
      </c>
      <c r="K4" s="583"/>
      <c r="L4" s="583"/>
      <c r="M4" s="583"/>
    </row>
    <row r="5" spans="1:14" ht="15" customHeight="1" thickBot="1">
      <c r="A5" s="79" t="s">
        <v>527</v>
      </c>
      <c r="B5" s="80" t="s">
        <v>510</v>
      </c>
      <c r="C5" s="80" t="s">
        <v>511</v>
      </c>
      <c r="D5" s="80" t="s">
        <v>513</v>
      </c>
      <c r="E5" s="81" t="s">
        <v>514</v>
      </c>
      <c r="F5" s="308" t="s">
        <v>510</v>
      </c>
      <c r="G5" s="308" t="s">
        <v>511</v>
      </c>
      <c r="H5" s="308" t="s">
        <v>513</v>
      </c>
      <c r="I5" s="309" t="s">
        <v>514</v>
      </c>
      <c r="J5" s="235" t="s">
        <v>510</v>
      </c>
      <c r="K5" s="235" t="s">
        <v>511</v>
      </c>
      <c r="L5" s="235" t="s">
        <v>513</v>
      </c>
      <c r="M5" s="496" t="s">
        <v>514</v>
      </c>
      <c r="N5" s="389"/>
    </row>
    <row r="6" spans="1:14" ht="15" customHeight="1">
      <c r="A6" s="82" t="s">
        <v>61</v>
      </c>
      <c r="B6" s="69">
        <v>505.56341559359998</v>
      </c>
      <c r="C6" s="69">
        <v>518.94566228760004</v>
      </c>
      <c r="D6" s="69">
        <v>555.29050448630005</v>
      </c>
      <c r="E6" s="69">
        <v>561.83924653929989</v>
      </c>
      <c r="F6" s="156">
        <v>527.34644846939989</v>
      </c>
      <c r="G6" s="156">
        <v>517.60448305250031</v>
      </c>
      <c r="H6" s="156">
        <v>565.70541195669989</v>
      </c>
      <c r="I6" s="156">
        <v>569.7180419849999</v>
      </c>
      <c r="J6" s="316">
        <v>567.608595444</v>
      </c>
      <c r="K6" s="316">
        <v>568.59084936947988</v>
      </c>
      <c r="L6" s="316">
        <v>584.73033923120033</v>
      </c>
      <c r="M6" s="316"/>
      <c r="N6" s="153"/>
    </row>
    <row r="7" spans="1:14" ht="15" customHeight="1">
      <c r="A7" s="83" t="s">
        <v>140</v>
      </c>
      <c r="B7" s="69">
        <v>31.457926945899999</v>
      </c>
      <c r="C7" s="69">
        <v>34.307184480100005</v>
      </c>
      <c r="D7" s="69">
        <v>37.378344446499995</v>
      </c>
      <c r="E7" s="69">
        <v>38.477566878899978</v>
      </c>
      <c r="F7" s="156">
        <v>40.989631002599999</v>
      </c>
      <c r="G7" s="156">
        <v>45.764636177500002</v>
      </c>
      <c r="H7" s="156">
        <v>52.888664826500005</v>
      </c>
      <c r="I7" s="156">
        <v>55.345549914900005</v>
      </c>
      <c r="J7" s="316">
        <v>60.0671001348</v>
      </c>
      <c r="K7" s="316">
        <v>63.652032339444006</v>
      </c>
      <c r="L7" s="316">
        <v>77.370491318671</v>
      </c>
      <c r="M7" s="316"/>
      <c r="N7" s="153"/>
    </row>
    <row r="8" spans="1:14" ht="18" customHeight="1">
      <c r="A8" s="84" t="s">
        <v>6</v>
      </c>
      <c r="B8" s="70">
        <v>537.02134253949998</v>
      </c>
      <c r="C8" s="70">
        <v>553.25284676770002</v>
      </c>
      <c r="D8" s="70">
        <v>592.66884893280007</v>
      </c>
      <c r="E8" s="70">
        <v>600.31681341819967</v>
      </c>
      <c r="F8" s="157">
        <v>568.33607947199994</v>
      </c>
      <c r="G8" s="157">
        <v>563.36911923000025</v>
      </c>
      <c r="H8" s="157">
        <v>618.59407678319985</v>
      </c>
      <c r="I8" s="157">
        <v>625.06359189989985</v>
      </c>
      <c r="J8" s="317">
        <v>627.67569557880006</v>
      </c>
      <c r="K8" s="317">
        <v>632.24288170892373</v>
      </c>
      <c r="L8" s="317">
        <v>662.10083054987149</v>
      </c>
      <c r="M8" s="317"/>
      <c r="N8" s="153"/>
    </row>
    <row r="9" spans="1:14" ht="15" customHeight="1">
      <c r="A9" s="83" t="s">
        <v>550</v>
      </c>
      <c r="B9" s="69">
        <v>4.5317458458999997</v>
      </c>
      <c r="C9" s="69">
        <v>7.3394761789000018</v>
      </c>
      <c r="D9" s="69">
        <v>11.6427618602</v>
      </c>
      <c r="E9" s="69">
        <v>6.0214713106999973</v>
      </c>
      <c r="F9" s="156">
        <v>5.7222331740000003</v>
      </c>
      <c r="G9" s="156">
        <v>6.8565380973000005</v>
      </c>
      <c r="H9" s="156">
        <v>15.5099718111</v>
      </c>
      <c r="I9" s="156">
        <v>6.3131942754000008</v>
      </c>
      <c r="J9" s="316">
        <v>5.5546408367999991</v>
      </c>
      <c r="K9" s="316">
        <v>8.4461542267140022</v>
      </c>
      <c r="L9" s="316">
        <v>19.573917612275995</v>
      </c>
      <c r="M9" s="316"/>
      <c r="N9" s="153"/>
    </row>
    <row r="10" spans="1:14" ht="18" customHeight="1">
      <c r="A10" s="84" t="s">
        <v>60</v>
      </c>
      <c r="B10" s="71">
        <v>541.55308838539997</v>
      </c>
      <c r="C10" s="71">
        <v>560.59232294660012</v>
      </c>
      <c r="D10" s="71">
        <v>604.311610793</v>
      </c>
      <c r="E10" s="71">
        <v>606.33828472889945</v>
      </c>
      <c r="F10" s="158">
        <v>574.05831264599999</v>
      </c>
      <c r="G10" s="158">
        <v>570.22565732730015</v>
      </c>
      <c r="H10" s="158">
        <v>634.10404859429991</v>
      </c>
      <c r="I10" s="158">
        <v>631.37678617529969</v>
      </c>
      <c r="J10" s="318">
        <v>633.23033641560005</v>
      </c>
      <c r="K10" s="318">
        <v>640.68903593563778</v>
      </c>
      <c r="L10" s="318">
        <v>681.67474816214735</v>
      </c>
      <c r="M10" s="318"/>
      <c r="N10" s="153"/>
    </row>
    <row r="11" spans="1:14" ht="15" customHeight="1">
      <c r="A11" s="83" t="s">
        <v>136</v>
      </c>
      <c r="B11" s="72">
        <v>86.81958930190001</v>
      </c>
      <c r="C11" s="72">
        <v>93.142046119899874</v>
      </c>
      <c r="D11" s="72">
        <v>102.69533849180016</v>
      </c>
      <c r="E11" s="72">
        <v>127.74996304939009</v>
      </c>
      <c r="F11" s="159">
        <v>110.60174563619989</v>
      </c>
      <c r="G11" s="159">
        <v>105.27433303530006</v>
      </c>
      <c r="H11" s="159">
        <v>137.55477078479998</v>
      </c>
      <c r="I11" s="159">
        <v>177.18314305980016</v>
      </c>
      <c r="J11" s="319">
        <v>124.36471899720004</v>
      </c>
      <c r="K11" s="319">
        <v>126.84473184151011</v>
      </c>
      <c r="L11" s="319">
        <v>133.52239368970027</v>
      </c>
      <c r="M11" s="319"/>
      <c r="N11" s="153"/>
    </row>
    <row r="12" spans="1:14" ht="18" customHeight="1">
      <c r="A12" s="558" t="s">
        <v>385</v>
      </c>
      <c r="B12" s="73">
        <v>628.37267768729998</v>
      </c>
      <c r="C12" s="73">
        <v>653.73436906649999</v>
      </c>
      <c r="D12" s="73">
        <v>707.00694928480016</v>
      </c>
      <c r="E12" s="73">
        <v>734.08824777828954</v>
      </c>
      <c r="F12" s="160">
        <v>684.66005828219988</v>
      </c>
      <c r="G12" s="160">
        <v>675.49999036260022</v>
      </c>
      <c r="H12" s="160">
        <v>771.6588193790999</v>
      </c>
      <c r="I12" s="160">
        <v>808.55992923509984</v>
      </c>
      <c r="J12" s="320">
        <v>757.59505541280009</v>
      </c>
      <c r="K12" s="320">
        <v>767.53376777714789</v>
      </c>
      <c r="L12" s="320">
        <v>815.19714185184785</v>
      </c>
      <c r="M12" s="320"/>
      <c r="N12" s="153"/>
    </row>
    <row r="13" spans="1:14" ht="18" customHeight="1">
      <c r="A13" s="557" t="s">
        <v>386</v>
      </c>
      <c r="B13" s="69">
        <v>1.0122135751000001</v>
      </c>
      <c r="C13" s="69">
        <v>1.4579263560999998</v>
      </c>
      <c r="D13" s="69">
        <v>2.1016626638000004</v>
      </c>
      <c r="E13" s="69">
        <v>2.7216302713999996</v>
      </c>
      <c r="F13" s="156">
        <v>1.7644456367999999</v>
      </c>
      <c r="G13" s="156">
        <v>2.3724096117000002</v>
      </c>
      <c r="H13" s="156">
        <v>5.108725401300001</v>
      </c>
      <c r="I13" s="156">
        <v>5.1771315443999981</v>
      </c>
      <c r="J13" s="316">
        <v>4.4378540712000003</v>
      </c>
      <c r="K13" s="316">
        <v>10.457088898536</v>
      </c>
      <c r="L13" s="316">
        <v>15.113597002279</v>
      </c>
      <c r="M13" s="316"/>
      <c r="N13" s="153"/>
    </row>
    <row r="14" spans="1:14" ht="15" customHeight="1">
      <c r="A14" s="86"/>
      <c r="B14" s="283"/>
      <c r="C14" s="283"/>
      <c r="D14" s="283"/>
      <c r="E14" s="283"/>
      <c r="F14" s="284"/>
      <c r="G14" s="284"/>
      <c r="H14" s="284"/>
      <c r="I14" s="284"/>
      <c r="J14" s="327"/>
      <c r="K14" s="327"/>
      <c r="L14" s="327"/>
      <c r="M14" s="327"/>
      <c r="N14" s="153"/>
    </row>
    <row r="15" spans="1:14" ht="18" customHeight="1">
      <c r="A15" s="87" t="s">
        <v>548</v>
      </c>
      <c r="B15" s="69">
        <v>237.60671560989999</v>
      </c>
      <c r="C15" s="69">
        <v>259.73733515050003</v>
      </c>
      <c r="D15" s="69">
        <v>290.73015101210001</v>
      </c>
      <c r="E15" s="69">
        <v>252.57561445489989</v>
      </c>
      <c r="F15" s="156">
        <v>253.0877134422</v>
      </c>
      <c r="G15" s="156">
        <v>271.92947973230002</v>
      </c>
      <c r="H15" s="156">
        <v>313.69559515870003</v>
      </c>
      <c r="I15" s="156">
        <v>294.92809347300022</v>
      </c>
      <c r="J15" s="316">
        <v>286.32810274199994</v>
      </c>
      <c r="K15" s="316">
        <v>295.49237502723304</v>
      </c>
      <c r="L15" s="316">
        <v>322.57689945714105</v>
      </c>
      <c r="M15" s="316"/>
      <c r="N15" s="153"/>
    </row>
    <row r="16" spans="1:14" ht="15" customHeight="1">
      <c r="A16" s="83" t="s">
        <v>477</v>
      </c>
      <c r="B16" s="69">
        <v>-2.6295982985999999</v>
      </c>
      <c r="C16" s="69">
        <v>-0.81015609260000021</v>
      </c>
      <c r="D16" s="69">
        <v>1.3943818362000004</v>
      </c>
      <c r="E16" s="69">
        <v>0</v>
      </c>
      <c r="F16" s="156">
        <v>2.8092959747999999</v>
      </c>
      <c r="G16" s="156">
        <v>-6.4873529781999997</v>
      </c>
      <c r="H16" s="156">
        <v>-1.0179484745000003</v>
      </c>
      <c r="I16" s="156">
        <v>3.7564462859999983</v>
      </c>
      <c r="J16" s="316">
        <v>0</v>
      </c>
      <c r="K16" s="316">
        <v>-1.4700203091539998</v>
      </c>
      <c r="L16" s="316">
        <v>0</v>
      </c>
      <c r="M16" s="316"/>
      <c r="N16" s="153"/>
    </row>
    <row r="17" spans="1:14" ht="18" customHeight="1">
      <c r="A17" s="88" t="s">
        <v>535</v>
      </c>
      <c r="B17" s="69">
        <v>234.97711731129999</v>
      </c>
      <c r="C17" s="69">
        <v>258.92717905790005</v>
      </c>
      <c r="D17" s="69">
        <v>292.12453284830002</v>
      </c>
      <c r="E17" s="69">
        <v>252.54126882909986</v>
      </c>
      <c r="F17" s="156">
        <v>255.89700941699999</v>
      </c>
      <c r="G17" s="156">
        <v>265.4421267541</v>
      </c>
      <c r="H17" s="156">
        <v>312.6776466842</v>
      </c>
      <c r="I17" s="156">
        <v>298.68453975900036</v>
      </c>
      <c r="J17" s="316">
        <v>286.65555201359996</v>
      </c>
      <c r="K17" s="316">
        <v>294.02235471807899</v>
      </c>
      <c r="L17" s="316">
        <v>322.64006213362006</v>
      </c>
      <c r="M17" s="316"/>
      <c r="N17" s="153"/>
    </row>
    <row r="18" spans="1:14" ht="15" customHeight="1">
      <c r="A18" s="83" t="s">
        <v>143</v>
      </c>
      <c r="B18" s="69">
        <v>-410.76936610710004</v>
      </c>
      <c r="C18" s="69">
        <v>-454.69567429289987</v>
      </c>
      <c r="D18" s="69">
        <v>-364.75572901000032</v>
      </c>
      <c r="E18" s="69">
        <v>-214.1077324219998</v>
      </c>
      <c r="F18" s="156">
        <v>-82.571794788000005</v>
      </c>
      <c r="G18" s="156">
        <v>-146.28530711009998</v>
      </c>
      <c r="H18" s="156">
        <v>-174.06061831350002</v>
      </c>
      <c r="I18" s="156">
        <v>-115.04324191807802</v>
      </c>
      <c r="J18" s="316">
        <v>-149.30143578805601</v>
      </c>
      <c r="K18" s="316">
        <v>-143.845340834003</v>
      </c>
      <c r="L18" s="316">
        <v>-143.87109133887998</v>
      </c>
      <c r="M18" s="316"/>
      <c r="N18" s="153"/>
    </row>
    <row r="19" spans="1:14" ht="15" customHeight="1">
      <c r="A19" s="89" t="s">
        <v>43</v>
      </c>
      <c r="B19" s="69">
        <v>0</v>
      </c>
      <c r="C19" s="69">
        <v>0</v>
      </c>
      <c r="D19" s="69">
        <v>0</v>
      </c>
      <c r="E19" s="69">
        <v>0</v>
      </c>
      <c r="F19" s="156">
        <v>0</v>
      </c>
      <c r="G19" s="156">
        <v>0</v>
      </c>
      <c r="H19" s="156">
        <v>0</v>
      </c>
      <c r="I19" s="156">
        <v>0</v>
      </c>
      <c r="J19" s="316">
        <v>0</v>
      </c>
      <c r="K19" s="316">
        <v>0</v>
      </c>
      <c r="L19" s="316">
        <v>0</v>
      </c>
      <c r="M19" s="316"/>
      <c r="N19" s="153"/>
    </row>
    <row r="20" spans="1:14" ht="18" customHeight="1">
      <c r="A20" s="84" t="s">
        <v>414</v>
      </c>
      <c r="B20" s="73">
        <v>-175.79224879580005</v>
      </c>
      <c r="C20" s="73">
        <v>-195.76849523499982</v>
      </c>
      <c r="D20" s="73">
        <v>-72.631196161700302</v>
      </c>
      <c r="E20" s="73">
        <v>38.433536407100064</v>
      </c>
      <c r="F20" s="160">
        <v>173.32521462899999</v>
      </c>
      <c r="G20" s="160">
        <v>119.15681964400002</v>
      </c>
      <c r="H20" s="160">
        <v>138.61702837069998</v>
      </c>
      <c r="I20" s="160">
        <v>183.64129784092233</v>
      </c>
      <c r="J20" s="320">
        <v>137.35411622554395</v>
      </c>
      <c r="K20" s="320">
        <v>150.17701388407599</v>
      </c>
      <c r="L20" s="320">
        <v>178.76897079474008</v>
      </c>
      <c r="M20" s="320"/>
      <c r="N20" s="153"/>
    </row>
    <row r="21" spans="1:14" ht="15" customHeight="1">
      <c r="A21" s="83"/>
      <c r="B21" s="69"/>
      <c r="C21" s="69"/>
      <c r="D21" s="69"/>
      <c r="E21" s="69"/>
      <c r="F21" s="156"/>
      <c r="G21" s="156"/>
      <c r="H21" s="156"/>
      <c r="I21" s="156"/>
      <c r="J21" s="316"/>
      <c r="K21" s="316"/>
      <c r="L21" s="316"/>
      <c r="M21" s="316"/>
      <c r="N21" s="153"/>
    </row>
    <row r="22" spans="1:14" ht="15" customHeight="1">
      <c r="A22" s="83" t="s">
        <v>479</v>
      </c>
      <c r="B22" s="74">
        <v>37.81302466625408</v>
      </c>
      <c r="C22" s="74">
        <v>39.731326275745907</v>
      </c>
      <c r="D22" s="74">
        <v>41.12125790364567</v>
      </c>
      <c r="E22" s="74">
        <v>34.406709986070119</v>
      </c>
      <c r="F22" s="161">
        <v>36.965456123903685</v>
      </c>
      <c r="G22" s="161">
        <v>40.25603014240334</v>
      </c>
      <c r="H22" s="161">
        <v>40.652110399141037</v>
      </c>
      <c r="I22" s="161">
        <v>36.475724656798548</v>
      </c>
      <c r="J22" s="323">
        <v>37.794346821071166</v>
      </c>
      <c r="K22" s="323">
        <v>38.498941340783951</v>
      </c>
      <c r="L22" s="323">
        <v>39.570415902631503</v>
      </c>
      <c r="M22" s="323"/>
      <c r="N22" s="153"/>
    </row>
    <row r="23" spans="1:14" ht="15" customHeight="1">
      <c r="A23" s="83" t="s">
        <v>62</v>
      </c>
      <c r="B23" s="74">
        <v>37.394547162063709</v>
      </c>
      <c r="C23" s="74">
        <v>39.607398862573973</v>
      </c>
      <c r="D23" s="74">
        <v>41.318481118723057</v>
      </c>
      <c r="E23" s="74">
        <v>34.402031308008731</v>
      </c>
      <c r="F23" s="161">
        <v>37.375775952089434</v>
      </c>
      <c r="G23" s="161">
        <v>39.295652189663819</v>
      </c>
      <c r="H23" s="161">
        <v>40.520193488592525</v>
      </c>
      <c r="I23" s="161">
        <v>36.940309426606987</v>
      </c>
      <c r="J23" s="323">
        <v>37.837569023916934</v>
      </c>
      <c r="K23" s="323">
        <v>38.307416176567216</v>
      </c>
      <c r="L23" s="323">
        <v>39.578164050071699</v>
      </c>
      <c r="M23" s="323"/>
      <c r="N23" s="153"/>
    </row>
    <row r="24" spans="1:14" ht="15" customHeight="1">
      <c r="A24" s="83" t="s">
        <v>63</v>
      </c>
      <c r="B24" s="74">
        <v>-27.975794466875335</v>
      </c>
      <c r="C24" s="74">
        <v>-29.946183725134023</v>
      </c>
      <c r="D24" s="74">
        <v>-10.273052653184408</v>
      </c>
      <c r="E24" s="74">
        <v>5.2355471598161074</v>
      </c>
      <c r="F24" s="161">
        <v>25.315514251535269</v>
      </c>
      <c r="G24" s="161">
        <v>17.639795905850136</v>
      </c>
      <c r="H24" s="161">
        <v>17.963512486287065</v>
      </c>
      <c r="I24" s="161">
        <v>22.712144295185091</v>
      </c>
      <c r="J24" s="323">
        <v>18.130281506483978</v>
      </c>
      <c r="K24" s="323">
        <v>19.566176784508539</v>
      </c>
      <c r="L24" s="323">
        <v>21.929538465829062</v>
      </c>
      <c r="M24" s="323"/>
      <c r="N24" s="153"/>
    </row>
    <row r="25" spans="1:14" ht="15" customHeight="1">
      <c r="A25" s="83"/>
      <c r="B25" s="74"/>
      <c r="C25" s="74"/>
      <c r="D25" s="74"/>
      <c r="E25" s="74"/>
      <c r="F25" s="161"/>
      <c r="G25" s="161"/>
      <c r="H25" s="161"/>
      <c r="I25" s="161"/>
      <c r="J25" s="323"/>
      <c r="K25" s="323"/>
      <c r="L25" s="323"/>
      <c r="M25" s="323"/>
      <c r="N25" s="153"/>
    </row>
    <row r="26" spans="1:14" ht="15" customHeight="1">
      <c r="A26" s="83" t="s">
        <v>64</v>
      </c>
      <c r="B26" s="69">
        <v>48.611381000000002</v>
      </c>
      <c r="C26" s="69">
        <v>41.2081867148</v>
      </c>
      <c r="D26" s="69">
        <v>218.01523628520002</v>
      </c>
      <c r="E26" s="69">
        <v>372.68805848899996</v>
      </c>
      <c r="F26" s="156">
        <v>112.5391722</v>
      </c>
      <c r="G26" s="156">
        <v>92.857408467200003</v>
      </c>
      <c r="H26" s="156">
        <v>84.120638589999999</v>
      </c>
      <c r="I26" s="156">
        <v>235.61139316980001</v>
      </c>
      <c r="J26" s="316">
        <v>33.019309065599998</v>
      </c>
      <c r="K26" s="316">
        <v>86.228284128875998</v>
      </c>
      <c r="L26" s="316">
        <v>46.695949779909</v>
      </c>
      <c r="M26" s="316"/>
      <c r="N26" s="153"/>
    </row>
    <row r="27" spans="1:14" ht="15" customHeight="1">
      <c r="A27" s="83" t="s">
        <v>0</v>
      </c>
      <c r="B27" s="69">
        <v>0</v>
      </c>
      <c r="C27" s="69">
        <v>0</v>
      </c>
      <c r="D27" s="69">
        <v>0</v>
      </c>
      <c r="E27" s="69">
        <v>0</v>
      </c>
      <c r="F27" s="156">
        <v>0</v>
      </c>
      <c r="G27" s="156">
        <v>0</v>
      </c>
      <c r="H27" s="156">
        <v>0</v>
      </c>
      <c r="I27" s="156">
        <v>0</v>
      </c>
      <c r="J27" s="316">
        <v>0</v>
      </c>
      <c r="K27" s="316">
        <v>0</v>
      </c>
      <c r="L27" s="316">
        <v>0</v>
      </c>
      <c r="M27" s="316"/>
      <c r="N27" s="153"/>
    </row>
    <row r="28" spans="1:14" s="190" customFormat="1" ht="15" customHeight="1">
      <c r="A28" s="196" t="s">
        <v>480</v>
      </c>
      <c r="B28" s="270">
        <v>48.611381000000002</v>
      </c>
      <c r="C28" s="270">
        <v>41.2081867148</v>
      </c>
      <c r="D28" s="270">
        <v>218.01523628520002</v>
      </c>
      <c r="E28" s="270">
        <v>372.68805848899996</v>
      </c>
      <c r="F28" s="207">
        <v>112.5391722</v>
      </c>
      <c r="G28" s="207">
        <v>92.857408467200003</v>
      </c>
      <c r="H28" s="207">
        <v>84.120638589999999</v>
      </c>
      <c r="I28" s="207">
        <v>216.08292496980002</v>
      </c>
      <c r="J28" s="316">
        <v>33.019309065599998</v>
      </c>
      <c r="K28" s="316">
        <v>52.118522088875999</v>
      </c>
      <c r="L28" s="316">
        <v>46.865218419908999</v>
      </c>
      <c r="M28" s="316"/>
    </row>
    <row r="29" spans="1:14" ht="15" customHeight="1">
      <c r="A29" s="90"/>
      <c r="B29" s="75"/>
      <c r="C29" s="75"/>
      <c r="D29" s="75"/>
      <c r="E29" s="75"/>
      <c r="F29" s="162"/>
      <c r="G29" s="162"/>
      <c r="H29" s="162"/>
      <c r="I29" s="162"/>
      <c r="J29" s="325"/>
      <c r="K29" s="325"/>
      <c r="L29" s="325"/>
      <c r="M29" s="325"/>
      <c r="N29" s="153"/>
    </row>
    <row r="30" spans="1:14" ht="15" customHeight="1">
      <c r="A30" s="91" t="s">
        <v>373</v>
      </c>
      <c r="B30" s="69">
        <v>3971</v>
      </c>
      <c r="C30" s="69">
        <v>4005</v>
      </c>
      <c r="D30" s="69">
        <v>4046.81</v>
      </c>
      <c r="E30" s="69">
        <v>3900.96</v>
      </c>
      <c r="F30" s="156">
        <v>3814.02</v>
      </c>
      <c r="G30" s="156">
        <v>3762.13</v>
      </c>
      <c r="H30" s="156">
        <v>3762.08</v>
      </c>
      <c r="I30" s="156">
        <v>3583.36</v>
      </c>
      <c r="J30" s="316">
        <v>3523.6</v>
      </c>
      <c r="K30" s="316">
        <v>3502.2</v>
      </c>
      <c r="L30" s="316">
        <v>3539.64</v>
      </c>
      <c r="M30" s="316"/>
      <c r="N30" s="153"/>
    </row>
    <row r="31" spans="1:14" ht="15" customHeight="1">
      <c r="A31" s="83" t="s">
        <v>376</v>
      </c>
      <c r="B31" s="69">
        <v>1228</v>
      </c>
      <c r="C31" s="69">
        <v>1229</v>
      </c>
      <c r="D31" s="69">
        <v>1258.02</v>
      </c>
      <c r="E31" s="69">
        <v>1166.96</v>
      </c>
      <c r="F31" s="156">
        <v>1125.3800000000001</v>
      </c>
      <c r="G31" s="156">
        <v>1130.23</v>
      </c>
      <c r="H31" s="156">
        <v>1162.99</v>
      </c>
      <c r="I31" s="156">
        <v>995.31</v>
      </c>
      <c r="J31" s="316">
        <v>953.6</v>
      </c>
      <c r="K31" s="316">
        <v>947.52</v>
      </c>
      <c r="L31" s="316">
        <v>1006.48</v>
      </c>
      <c r="M31" s="316"/>
      <c r="N31" s="153"/>
    </row>
    <row r="32" spans="1:14" ht="15" customHeight="1">
      <c r="A32" s="83" t="s">
        <v>374</v>
      </c>
      <c r="B32" s="69">
        <v>181</v>
      </c>
      <c r="C32" s="69">
        <v>188</v>
      </c>
      <c r="D32" s="69">
        <v>188</v>
      </c>
      <c r="E32" s="69">
        <v>189.02</v>
      </c>
      <c r="F32" s="156">
        <v>190.16</v>
      </c>
      <c r="G32" s="156">
        <v>204.443012529817</v>
      </c>
      <c r="H32" s="156">
        <v>209.055597310542</v>
      </c>
      <c r="I32" s="156">
        <v>221.215428031659</v>
      </c>
      <c r="J32" s="316">
        <v>229.83771639679901</v>
      </c>
      <c r="K32" s="316">
        <v>239.90914062411801</v>
      </c>
      <c r="L32" s="316">
        <v>244.18655897126399</v>
      </c>
      <c r="M32" s="316"/>
      <c r="N32" s="153"/>
    </row>
    <row r="33" spans="1:14" ht="15" customHeight="1">
      <c r="A33" s="83" t="s">
        <v>375</v>
      </c>
      <c r="B33" s="69">
        <v>45</v>
      </c>
      <c r="C33" s="69">
        <v>46</v>
      </c>
      <c r="D33" s="69">
        <v>48.954984000000003</v>
      </c>
      <c r="E33" s="69">
        <v>50.268144000000007</v>
      </c>
      <c r="F33" s="156">
        <v>48.887369999999997</v>
      </c>
      <c r="G33" s="156">
        <v>49.629931999999997</v>
      </c>
      <c r="H33" s="156">
        <v>54.571295999999997</v>
      </c>
      <c r="I33" s="156">
        <v>56.897735999999995</v>
      </c>
      <c r="J33" s="316">
        <v>58.839798688524588</v>
      </c>
      <c r="K33" s="316">
        <v>60.092955000000003</v>
      </c>
      <c r="L33" s="316">
        <v>62.500788</v>
      </c>
      <c r="M33" s="316"/>
      <c r="N33" s="153"/>
    </row>
    <row r="34" spans="1:14" ht="15" customHeight="1">
      <c r="A34" s="83" t="s">
        <v>377</v>
      </c>
      <c r="B34" s="69">
        <v>59</v>
      </c>
      <c r="C34" s="69">
        <v>60</v>
      </c>
      <c r="D34" s="69">
        <v>60.886968000000003</v>
      </c>
      <c r="E34" s="69">
        <v>62.023696000000001</v>
      </c>
      <c r="F34" s="156">
        <v>61.343603999999999</v>
      </c>
      <c r="G34" s="156">
        <v>61.544620000000002</v>
      </c>
      <c r="H34" s="156">
        <v>67.653456000000006</v>
      </c>
      <c r="I34" s="156">
        <v>69.785646</v>
      </c>
      <c r="J34" s="316">
        <v>71.942369754098351</v>
      </c>
      <c r="K34" s="316">
        <v>72.530910000000006</v>
      </c>
      <c r="L34" s="316">
        <v>75.323898</v>
      </c>
      <c r="M34" s="316"/>
      <c r="N34" s="153"/>
    </row>
    <row r="35" spans="1:14" ht="15" customHeight="1">
      <c r="A35" s="89" t="s">
        <v>376</v>
      </c>
      <c r="B35" s="75">
        <v>14</v>
      </c>
      <c r="C35" s="75">
        <v>16</v>
      </c>
      <c r="D35" s="75">
        <v>22.467672</v>
      </c>
      <c r="E35" s="75">
        <v>23.379512000000002</v>
      </c>
      <c r="F35" s="162">
        <v>19.688886</v>
      </c>
      <c r="G35" s="162">
        <v>21.420155999999999</v>
      </c>
      <c r="H35" s="162">
        <v>24.996269999999999</v>
      </c>
      <c r="I35" s="162">
        <v>25.728086999999999</v>
      </c>
      <c r="J35" s="325">
        <v>24.159387540983605</v>
      </c>
      <c r="K35" s="325">
        <v>26.162595000000003</v>
      </c>
      <c r="L35" s="325">
        <v>29.540645999999999</v>
      </c>
      <c r="M35" s="325"/>
      <c r="N35" s="153"/>
    </row>
    <row r="36" spans="1:14">
      <c r="A36" s="4"/>
    </row>
    <row r="37" spans="1:14">
      <c r="A37" s="4"/>
    </row>
    <row r="38" spans="1:14">
      <c r="A38" s="4"/>
    </row>
    <row r="39" spans="1:14">
      <c r="A39" s="4"/>
    </row>
    <row r="40" spans="1:14">
      <c r="A40" s="4"/>
    </row>
    <row r="41" spans="1:14">
      <c r="A41" s="4"/>
    </row>
    <row r="42" spans="1:14">
      <c r="A42" s="4"/>
    </row>
    <row r="43" spans="1:14">
      <c r="A43" s="4"/>
    </row>
    <row r="44" spans="1:14">
      <c r="A44" s="4"/>
    </row>
    <row r="45" spans="1:14">
      <c r="A45" s="4"/>
    </row>
    <row r="46" spans="1:14">
      <c r="A46" s="4"/>
    </row>
    <row r="47" spans="1:14">
      <c r="A47" s="4"/>
    </row>
    <row r="48" spans="1:14">
      <c r="A48" s="4"/>
    </row>
    <row r="49" spans="1:1">
      <c r="A49" s="4"/>
    </row>
  </sheetData>
  <mergeCells count="3">
    <mergeCell ref="B4:E4"/>
    <mergeCell ref="F4:I4"/>
    <mergeCell ref="J4:M4"/>
  </mergeCells>
  <pageMargins left="0.42" right="0.39" top="0.984251969" bottom="0.984251969" header="0.5" footer="0.5"/>
  <pageSetup paperSize="9"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enableFormatConditionsCalculation="0">
    <tabColor indexed="24"/>
    <pageSetUpPr fitToPage="1"/>
  </sheetPr>
  <dimension ref="A1:N38"/>
  <sheetViews>
    <sheetView showGridLines="0" view="pageBreakPreview" zoomScale="90" zoomScaleNormal="100" zoomScaleSheetLayoutView="90" workbookViewId="0">
      <selection activeCell="A3" sqref="A3"/>
    </sheetView>
  </sheetViews>
  <sheetFormatPr defaultColWidth="9.140625" defaultRowHeight="12.75"/>
  <cols>
    <col min="1" max="1" width="76.7109375" customWidth="1"/>
    <col min="2" max="13" width="9.7109375" customWidth="1"/>
  </cols>
  <sheetData>
    <row r="1" spans="1:14" ht="15" customHeight="1"/>
    <row r="2" spans="1:14" ht="15" customHeight="1"/>
    <row r="3" spans="1:14" ht="15" customHeight="1" thickBot="1">
      <c r="A3" s="92" t="s">
        <v>17</v>
      </c>
      <c r="B3" s="299"/>
      <c r="C3" s="299"/>
      <c r="D3" s="299"/>
      <c r="E3" s="299"/>
      <c r="F3" s="305"/>
      <c r="G3" s="305"/>
      <c r="H3" s="305"/>
      <c r="I3" s="305"/>
      <c r="J3" s="393"/>
      <c r="K3" s="393"/>
      <c r="L3" s="393"/>
      <c r="M3" s="393"/>
    </row>
    <row r="4" spans="1:14" ht="15" customHeight="1" thickBot="1">
      <c r="A4" s="78"/>
      <c r="B4" s="576">
        <v>2014</v>
      </c>
      <c r="C4" s="577"/>
      <c r="D4" s="577"/>
      <c r="E4" s="578"/>
      <c r="F4" s="579">
        <v>2015</v>
      </c>
      <c r="G4" s="580"/>
      <c r="H4" s="580"/>
      <c r="I4" s="581"/>
      <c r="J4" s="582">
        <v>2016</v>
      </c>
      <c r="K4" s="583"/>
      <c r="L4" s="583"/>
      <c r="M4" s="583"/>
    </row>
    <row r="5" spans="1:14" ht="15" customHeight="1" thickBot="1">
      <c r="A5" s="79" t="s">
        <v>527</v>
      </c>
      <c r="B5" s="80" t="s">
        <v>510</v>
      </c>
      <c r="C5" s="80" t="s">
        <v>511</v>
      </c>
      <c r="D5" s="80" t="s">
        <v>513</v>
      </c>
      <c r="E5" s="81" t="s">
        <v>514</v>
      </c>
      <c r="F5" s="308" t="s">
        <v>510</v>
      </c>
      <c r="G5" s="308" t="s">
        <v>511</v>
      </c>
      <c r="H5" s="308" t="s">
        <v>513</v>
      </c>
      <c r="I5" s="309" t="s">
        <v>514</v>
      </c>
      <c r="J5" s="235" t="s">
        <v>510</v>
      </c>
      <c r="K5" s="235" t="s">
        <v>511</v>
      </c>
      <c r="L5" s="235" t="s">
        <v>513</v>
      </c>
      <c r="M5" s="496" t="s">
        <v>514</v>
      </c>
      <c r="N5" s="389"/>
    </row>
    <row r="6" spans="1:14" ht="15" customHeight="1">
      <c r="A6" s="82" t="s">
        <v>61</v>
      </c>
      <c r="B6" s="69">
        <v>772.33019835519997</v>
      </c>
      <c r="C6" s="69">
        <v>800.14257045080001</v>
      </c>
      <c r="D6" s="69">
        <v>799.17713181759996</v>
      </c>
      <c r="E6" s="69">
        <v>849.29712240250046</v>
      </c>
      <c r="F6" s="156">
        <v>836.46296636739999</v>
      </c>
      <c r="G6" s="156">
        <v>852.43341064409992</v>
      </c>
      <c r="H6" s="156">
        <v>925.01854249100029</v>
      </c>
      <c r="I6" s="156">
        <v>911.66681070430013</v>
      </c>
      <c r="J6" s="316">
        <v>907.65648085065197</v>
      </c>
      <c r="K6" s="316">
        <v>884.6661914321279</v>
      </c>
      <c r="L6" s="316">
        <v>905.63071717371986</v>
      </c>
      <c r="M6" s="316"/>
      <c r="N6" s="153"/>
    </row>
    <row r="7" spans="1:14" ht="15" customHeight="1">
      <c r="A7" s="83" t="s">
        <v>140</v>
      </c>
      <c r="B7" s="69">
        <v>134.2759521051</v>
      </c>
      <c r="C7" s="69">
        <v>135.6584669739</v>
      </c>
      <c r="D7" s="69">
        <v>140.62123915820001</v>
      </c>
      <c r="E7" s="69">
        <v>151.06851782260009</v>
      </c>
      <c r="F7" s="156">
        <v>152.22543678169998</v>
      </c>
      <c r="G7" s="156">
        <v>56.925228001899995</v>
      </c>
      <c r="H7" s="156">
        <v>64.826271542400008</v>
      </c>
      <c r="I7" s="156">
        <v>74.919299539700035</v>
      </c>
      <c r="J7" s="316">
        <v>67.768183424443293</v>
      </c>
      <c r="K7" s="316">
        <v>67.931310313276725</v>
      </c>
      <c r="L7" s="316">
        <v>66.658816903507983</v>
      </c>
      <c r="M7" s="316"/>
      <c r="N7" s="153"/>
    </row>
    <row r="8" spans="1:14" ht="18" customHeight="1">
      <c r="A8" s="84" t="s">
        <v>6</v>
      </c>
      <c r="B8" s="70">
        <v>906.6061504603</v>
      </c>
      <c r="C8" s="70">
        <v>935.80103742469998</v>
      </c>
      <c r="D8" s="70">
        <v>939.79837097580003</v>
      </c>
      <c r="E8" s="70">
        <v>1000.3656402251004</v>
      </c>
      <c r="F8" s="157">
        <v>988.68840314909994</v>
      </c>
      <c r="G8" s="157">
        <v>909.35863864599992</v>
      </c>
      <c r="H8" s="157">
        <v>989.84481403340055</v>
      </c>
      <c r="I8" s="157">
        <v>986.58611024399988</v>
      </c>
      <c r="J8" s="317">
        <v>975.42466427509521</v>
      </c>
      <c r="K8" s="317">
        <v>952.59750174540477</v>
      </c>
      <c r="L8" s="317">
        <v>972.2895340772277</v>
      </c>
      <c r="M8" s="317"/>
      <c r="N8" s="153"/>
    </row>
    <row r="9" spans="1:14" ht="15" customHeight="1">
      <c r="A9" s="83" t="s">
        <v>550</v>
      </c>
      <c r="B9" s="69">
        <v>20.856674303800002</v>
      </c>
      <c r="C9" s="69">
        <v>19.790248896200001</v>
      </c>
      <c r="D9" s="69">
        <v>22.441642742399999</v>
      </c>
      <c r="E9" s="69">
        <v>18.2709215657</v>
      </c>
      <c r="F9" s="156">
        <v>18.404426701699997</v>
      </c>
      <c r="G9" s="156">
        <v>20.704317660500003</v>
      </c>
      <c r="H9" s="156">
        <v>26.713222730299989</v>
      </c>
      <c r="I9" s="156">
        <v>15.066771893100011</v>
      </c>
      <c r="J9" s="316">
        <v>17.739383982796699</v>
      </c>
      <c r="K9" s="316">
        <v>20.216590742003302</v>
      </c>
      <c r="L9" s="316">
        <v>23.262828587804002</v>
      </c>
      <c r="M9" s="316"/>
      <c r="N9" s="153"/>
    </row>
    <row r="10" spans="1:14" ht="18" customHeight="1">
      <c r="A10" s="84" t="s">
        <v>60</v>
      </c>
      <c r="B10" s="70">
        <v>927.46282476409999</v>
      </c>
      <c r="C10" s="70">
        <v>955.59128632089994</v>
      </c>
      <c r="D10" s="70">
        <v>962.24001371819986</v>
      </c>
      <c r="E10" s="70">
        <v>1018.6365617908004</v>
      </c>
      <c r="F10" s="157">
        <v>1007.0928298507999</v>
      </c>
      <c r="G10" s="157">
        <v>930.06295630649993</v>
      </c>
      <c r="H10" s="157">
        <v>1016.5580367637006</v>
      </c>
      <c r="I10" s="157">
        <v>1001.6528821370998</v>
      </c>
      <c r="J10" s="317">
        <v>993.16404825789186</v>
      </c>
      <c r="K10" s="317">
        <v>972.81409248740806</v>
      </c>
      <c r="L10" s="317">
        <v>995.55236266503175</v>
      </c>
      <c r="M10" s="317"/>
      <c r="N10" s="153"/>
    </row>
    <row r="11" spans="1:14" ht="15" customHeight="1">
      <c r="A11" s="83" t="s">
        <v>136</v>
      </c>
      <c r="B11" s="72">
        <v>68.887010824900003</v>
      </c>
      <c r="C11" s="72">
        <v>89.696254276099992</v>
      </c>
      <c r="D11" s="72">
        <v>84.81668466939999</v>
      </c>
      <c r="E11" s="72">
        <v>131.1964812992</v>
      </c>
      <c r="F11" s="159">
        <v>90.459174204600004</v>
      </c>
      <c r="G11" s="159">
        <v>119.99777682170003</v>
      </c>
      <c r="H11" s="159">
        <v>150.77693632069997</v>
      </c>
      <c r="I11" s="159">
        <v>173.52457280229993</v>
      </c>
      <c r="J11" s="319">
        <v>124.05350486923601</v>
      </c>
      <c r="K11" s="319">
        <v>128.16870955810001</v>
      </c>
      <c r="L11" s="319">
        <v>128.046872402508</v>
      </c>
      <c r="M11" s="319"/>
      <c r="N11" s="153"/>
    </row>
    <row r="12" spans="1:14" ht="18" customHeight="1">
      <c r="A12" s="558" t="s">
        <v>385</v>
      </c>
      <c r="B12" s="70">
        <v>996.34983558900001</v>
      </c>
      <c r="C12" s="70">
        <v>1045.2875405969999</v>
      </c>
      <c r="D12" s="70">
        <v>1047.0566983875997</v>
      </c>
      <c r="E12" s="70">
        <v>1149.833043090001</v>
      </c>
      <c r="F12" s="157">
        <v>1097.5520040553999</v>
      </c>
      <c r="G12" s="157">
        <v>1050.0607331282001</v>
      </c>
      <c r="H12" s="157">
        <v>1167.3349730844002</v>
      </c>
      <c r="I12" s="157">
        <v>1175.1774549394004</v>
      </c>
      <c r="J12" s="317">
        <v>1117.2175531271278</v>
      </c>
      <c r="K12" s="317">
        <v>1100.9828020455084</v>
      </c>
      <c r="L12" s="317">
        <v>1123.5992350675397</v>
      </c>
      <c r="M12" s="317"/>
      <c r="N12" s="153"/>
    </row>
    <row r="13" spans="1:14" ht="18" customHeight="1">
      <c r="A13" s="557" t="s">
        <v>386</v>
      </c>
      <c r="B13" s="69">
        <v>5.5040791320999993</v>
      </c>
      <c r="C13" s="69">
        <v>6.7426188029000009</v>
      </c>
      <c r="D13" s="69">
        <v>6.5784237333999975</v>
      </c>
      <c r="E13" s="69">
        <v>16.996679566200005</v>
      </c>
      <c r="F13" s="156">
        <v>7.2690113587999905</v>
      </c>
      <c r="G13" s="156">
        <v>7.3469636082000092</v>
      </c>
      <c r="H13" s="156">
        <v>8.6574068195000002</v>
      </c>
      <c r="I13" s="156">
        <v>11.877435839699995</v>
      </c>
      <c r="J13" s="316">
        <v>14.5281133817626</v>
      </c>
      <c r="K13" s="316">
        <v>12.545696045373399</v>
      </c>
      <c r="L13" s="316">
        <v>16.136744946944006</v>
      </c>
      <c r="M13" s="316"/>
      <c r="N13" s="153"/>
    </row>
    <row r="14" spans="1:14" ht="15" customHeight="1">
      <c r="A14" s="86"/>
      <c r="B14" s="69"/>
      <c r="C14" s="69"/>
      <c r="D14" s="69"/>
      <c r="E14" s="69"/>
      <c r="F14" s="156"/>
      <c r="G14" s="156"/>
      <c r="H14" s="156"/>
      <c r="I14" s="156"/>
      <c r="J14" s="316"/>
      <c r="K14" s="316"/>
      <c r="L14" s="316"/>
      <c r="M14" s="316"/>
      <c r="N14" s="153"/>
    </row>
    <row r="15" spans="1:14" ht="18" customHeight="1">
      <c r="A15" s="87" t="s">
        <v>548</v>
      </c>
      <c r="B15" s="71">
        <v>367.8909897254</v>
      </c>
      <c r="C15" s="71">
        <v>382.58506925860002</v>
      </c>
      <c r="D15" s="71">
        <v>346.00107950439997</v>
      </c>
      <c r="E15" s="71">
        <v>278.7722272499002</v>
      </c>
      <c r="F15" s="158">
        <v>353.88543247369995</v>
      </c>
      <c r="G15" s="158">
        <v>330.53705772890004</v>
      </c>
      <c r="H15" s="158">
        <v>416.79353742189994</v>
      </c>
      <c r="I15" s="158">
        <v>280.33194983280009</v>
      </c>
      <c r="J15" s="318">
        <v>354.25557525941701</v>
      </c>
      <c r="K15" s="318">
        <v>332.186004015663</v>
      </c>
      <c r="L15" s="318">
        <v>389.03480105326992</v>
      </c>
      <c r="M15" s="318"/>
      <c r="N15" s="153"/>
    </row>
    <row r="16" spans="1:14" ht="15" customHeight="1">
      <c r="A16" s="83" t="s">
        <v>477</v>
      </c>
      <c r="B16" s="69">
        <v>-18.870071893599999</v>
      </c>
      <c r="C16" s="69">
        <v>-5.4348383264000049</v>
      </c>
      <c r="D16" s="69">
        <v>-5.2379479471999986</v>
      </c>
      <c r="E16" s="69">
        <v>-19.202697678600003</v>
      </c>
      <c r="F16" s="156">
        <v>-6.2488586458000004</v>
      </c>
      <c r="G16" s="156">
        <v>-5.8963901882999998</v>
      </c>
      <c r="H16" s="156">
        <v>-3.9448491058999995</v>
      </c>
      <c r="I16" s="156">
        <v>-9.2867790381000006</v>
      </c>
      <c r="J16" s="316">
        <v>-2.9735775096703363</v>
      </c>
      <c r="K16" s="316">
        <v>-2.5943684539096625</v>
      </c>
      <c r="L16" s="316">
        <v>-4.8929814402840011</v>
      </c>
      <c r="M16" s="316"/>
      <c r="N16" s="153"/>
    </row>
    <row r="17" spans="1:14" ht="18" customHeight="1">
      <c r="A17" s="88" t="s">
        <v>535</v>
      </c>
      <c r="B17" s="71">
        <v>349.02091783180003</v>
      </c>
      <c r="C17" s="71">
        <v>377.15023093219997</v>
      </c>
      <c r="D17" s="71">
        <v>340.76313155720004</v>
      </c>
      <c r="E17" s="71">
        <v>259.56952957130011</v>
      </c>
      <c r="F17" s="158">
        <v>347.63657382789995</v>
      </c>
      <c r="G17" s="158">
        <v>324.64066754060002</v>
      </c>
      <c r="H17" s="158">
        <v>412.84868831599988</v>
      </c>
      <c r="I17" s="158">
        <v>271.0451707947002</v>
      </c>
      <c r="J17" s="318">
        <v>351.28199774974667</v>
      </c>
      <c r="K17" s="318">
        <v>329.59163556175338</v>
      </c>
      <c r="L17" s="318">
        <v>384.14181961298596</v>
      </c>
      <c r="M17" s="318"/>
      <c r="N17" s="153"/>
    </row>
    <row r="18" spans="1:14" ht="15" customHeight="1">
      <c r="A18" s="83" t="s">
        <v>594</v>
      </c>
      <c r="B18" s="69">
        <v>-111.41516448778499</v>
      </c>
      <c r="C18" s="69">
        <v>-117.385563252344</v>
      </c>
      <c r="D18" s="69">
        <v>-116.11274466124104</v>
      </c>
      <c r="E18" s="69">
        <v>-130.46000771397098</v>
      </c>
      <c r="F18" s="156">
        <v>-139.67756311472101</v>
      </c>
      <c r="G18" s="156">
        <v>-140.01784270465498</v>
      </c>
      <c r="H18" s="156">
        <v>-150.77450478843701</v>
      </c>
      <c r="I18" s="156">
        <v>-165.66901716647004</v>
      </c>
      <c r="J18" s="316">
        <v>-161.47865649872602</v>
      </c>
      <c r="K18" s="316">
        <v>-156.95452719494699</v>
      </c>
      <c r="L18" s="316">
        <v>-144.70682251129904</v>
      </c>
      <c r="M18" s="316"/>
      <c r="N18" s="153"/>
    </row>
    <row r="19" spans="1:14" ht="15" customHeight="1">
      <c r="A19" s="89" t="s">
        <v>43</v>
      </c>
      <c r="B19" s="75">
        <v>0</v>
      </c>
      <c r="C19" s="75">
        <v>0</v>
      </c>
      <c r="D19" s="75">
        <v>0</v>
      </c>
      <c r="E19" s="75">
        <v>0</v>
      </c>
      <c r="F19" s="162">
        <v>0</v>
      </c>
      <c r="G19" s="162">
        <v>0</v>
      </c>
      <c r="H19" s="162">
        <v>0</v>
      </c>
      <c r="I19" s="162">
        <v>0</v>
      </c>
      <c r="J19" s="325">
        <v>0</v>
      </c>
      <c r="K19" s="325">
        <v>0</v>
      </c>
      <c r="L19" s="325">
        <v>0</v>
      </c>
      <c r="M19" s="325"/>
      <c r="N19" s="153"/>
    </row>
    <row r="20" spans="1:14" ht="18" customHeight="1">
      <c r="A20" s="84" t="s">
        <v>534</v>
      </c>
      <c r="B20" s="73">
        <v>237.60575334401506</v>
      </c>
      <c r="C20" s="73">
        <v>259.76466767985596</v>
      </c>
      <c r="D20" s="73">
        <v>224.65038689595906</v>
      </c>
      <c r="E20" s="73">
        <v>129.10952185732913</v>
      </c>
      <c r="F20" s="160">
        <v>207.95901071317894</v>
      </c>
      <c r="G20" s="160">
        <v>184.62282483594504</v>
      </c>
      <c r="H20" s="160">
        <v>262.07418352756281</v>
      </c>
      <c r="I20" s="160">
        <v>105.37615362823021</v>
      </c>
      <c r="J20" s="320">
        <v>189.80334125102064</v>
      </c>
      <c r="K20" s="320">
        <v>172.63710836680639</v>
      </c>
      <c r="L20" s="320">
        <v>239.43499710168697</v>
      </c>
      <c r="M20" s="320"/>
      <c r="N20" s="153"/>
    </row>
    <row r="21" spans="1:14" ht="15" customHeight="1">
      <c r="A21" s="83"/>
      <c r="B21" s="69"/>
      <c r="C21" s="69"/>
      <c r="D21" s="69"/>
      <c r="E21" s="69"/>
      <c r="F21" s="156"/>
      <c r="G21" s="156"/>
      <c r="H21" s="156"/>
      <c r="I21" s="156"/>
      <c r="J21" s="316"/>
      <c r="K21" s="316"/>
      <c r="L21" s="316"/>
      <c r="M21" s="316"/>
      <c r="N21" s="153"/>
    </row>
    <row r="22" spans="1:14" ht="15" customHeight="1">
      <c r="A22" s="83" t="s">
        <v>479</v>
      </c>
      <c r="B22" s="74">
        <v>36.923877194993295</v>
      </c>
      <c r="C22" s="74">
        <v>36.600940353703294</v>
      </c>
      <c r="D22" s="74">
        <v>33.045113988308323</v>
      </c>
      <c r="E22" s="74">
        <v>24.244583065793826</v>
      </c>
      <c r="F22" s="161">
        <v>32.243158516964201</v>
      </c>
      <c r="G22" s="161">
        <v>31.477899068200404</v>
      </c>
      <c r="H22" s="161">
        <v>35.704707477462435</v>
      </c>
      <c r="I22" s="161">
        <v>23.85443565603935</v>
      </c>
      <c r="J22" s="323">
        <v>31.708736966031754</v>
      </c>
      <c r="K22" s="323">
        <v>30.171770476205161</v>
      </c>
      <c r="L22" s="323">
        <v>34.623982369468678</v>
      </c>
      <c r="M22" s="323"/>
      <c r="N22" s="153"/>
    </row>
    <row r="23" spans="1:14" ht="15" customHeight="1">
      <c r="A23" s="83" t="s">
        <v>62</v>
      </c>
      <c r="B23" s="74">
        <v>35.029956885120939</v>
      </c>
      <c r="C23" s="74">
        <v>36.081003196191972</v>
      </c>
      <c r="D23" s="74">
        <v>32.544859517345479</v>
      </c>
      <c r="E23" s="74">
        <v>22.574540811050845</v>
      </c>
      <c r="F23" s="161">
        <v>31.673813408695001</v>
      </c>
      <c r="G23" s="161">
        <v>30.916370577297382</v>
      </c>
      <c r="H23" s="161">
        <v>35.366771135550501</v>
      </c>
      <c r="I23" s="161">
        <v>23.064190829688528</v>
      </c>
      <c r="J23" s="323">
        <v>31.442577747413392</v>
      </c>
      <c r="K23" s="323">
        <v>29.936129333665097</v>
      </c>
      <c r="L23" s="323">
        <v>34.18850846671279</v>
      </c>
      <c r="M23" s="323"/>
      <c r="N23" s="153"/>
    </row>
    <row r="24" spans="1:14" ht="15" customHeight="1">
      <c r="A24" s="83" t="s">
        <v>63</v>
      </c>
      <c r="B24" s="74">
        <v>23.847623079453069</v>
      </c>
      <c r="C24" s="74">
        <v>24.851024965962512</v>
      </c>
      <c r="D24" s="74">
        <v>21.455417575944672</v>
      </c>
      <c r="E24" s="74">
        <v>11.228545103414925</v>
      </c>
      <c r="F24" s="161">
        <v>18.947531410336893</v>
      </c>
      <c r="G24" s="161">
        <v>17.582109206763828</v>
      </c>
      <c r="H24" s="161">
        <v>22.450640953135771</v>
      </c>
      <c r="I24" s="161">
        <v>8.9668290678418501</v>
      </c>
      <c r="J24" s="323">
        <v>16.988932971895672</v>
      </c>
      <c r="K24" s="323">
        <v>15.680272938511401</v>
      </c>
      <c r="L24" s="323">
        <v>21.309644010864293</v>
      </c>
      <c r="M24" s="323"/>
      <c r="N24" s="153"/>
    </row>
    <row r="25" spans="1:14" ht="15" customHeight="1">
      <c r="A25" s="83"/>
      <c r="B25" s="69"/>
      <c r="C25" s="69"/>
      <c r="D25" s="69"/>
      <c r="E25" s="69"/>
      <c r="F25" s="156"/>
      <c r="G25" s="156"/>
      <c r="H25" s="156"/>
      <c r="I25" s="156"/>
      <c r="J25" s="316"/>
      <c r="K25" s="316"/>
      <c r="L25" s="316"/>
      <c r="M25" s="316"/>
      <c r="N25" s="153"/>
    </row>
    <row r="26" spans="1:14" ht="15" customHeight="1">
      <c r="A26" s="83" t="s">
        <v>64</v>
      </c>
      <c r="B26" s="69">
        <v>53.734801399999995</v>
      </c>
      <c r="C26" s="69">
        <v>68.1836986</v>
      </c>
      <c r="D26" s="69">
        <v>82.129222800000036</v>
      </c>
      <c r="E26" s="69">
        <v>1022.4545107000001</v>
      </c>
      <c r="F26" s="156">
        <v>67.343217700000011</v>
      </c>
      <c r="G26" s="156">
        <v>87.380046899999982</v>
      </c>
      <c r="H26" s="156">
        <v>69.501568400000025</v>
      </c>
      <c r="I26" s="156">
        <v>89.748495100000042</v>
      </c>
      <c r="J26" s="316">
        <v>46.192825131639502</v>
      </c>
      <c r="K26" s="316">
        <v>76.930642148360505</v>
      </c>
      <c r="L26" s="316">
        <v>103.84185768399999</v>
      </c>
      <c r="M26" s="316"/>
      <c r="N26" s="153"/>
    </row>
    <row r="27" spans="1:14" ht="15" customHeight="1">
      <c r="A27" s="83" t="s">
        <v>0</v>
      </c>
      <c r="B27" s="69">
        <v>0</v>
      </c>
      <c r="C27" s="69">
        <v>0</v>
      </c>
      <c r="D27" s="69">
        <v>0</v>
      </c>
      <c r="E27" s="69">
        <v>0</v>
      </c>
      <c r="F27" s="156">
        <v>0</v>
      </c>
      <c r="G27" s="156">
        <v>0</v>
      </c>
      <c r="H27" s="156">
        <v>0</v>
      </c>
      <c r="I27" s="156">
        <v>0</v>
      </c>
      <c r="J27" s="316">
        <v>0</v>
      </c>
      <c r="K27" s="316">
        <v>0</v>
      </c>
      <c r="L27" s="316">
        <v>0</v>
      </c>
      <c r="M27" s="316"/>
      <c r="N27" s="153"/>
    </row>
    <row r="28" spans="1:14" s="190" customFormat="1" ht="15" customHeight="1">
      <c r="A28" s="196" t="s">
        <v>480</v>
      </c>
      <c r="B28" s="270">
        <v>53.734801399999995</v>
      </c>
      <c r="C28" s="270">
        <v>68.1836986</v>
      </c>
      <c r="D28" s="270">
        <v>82.129222800000036</v>
      </c>
      <c r="E28" s="270">
        <v>162.70701070000018</v>
      </c>
      <c r="F28" s="207">
        <v>67.343217700000011</v>
      </c>
      <c r="G28" s="207">
        <v>87.380046899999982</v>
      </c>
      <c r="H28" s="207">
        <v>69.501568400000025</v>
      </c>
      <c r="I28" s="207">
        <v>89.748495100000042</v>
      </c>
      <c r="J28" s="316">
        <v>46.192825131639502</v>
      </c>
      <c r="K28" s="316">
        <v>76.930642148360505</v>
      </c>
      <c r="L28" s="316">
        <v>103.84185768399999</v>
      </c>
      <c r="M28" s="316"/>
    </row>
    <row r="29" spans="1:14" ht="15" customHeight="1">
      <c r="A29" s="90"/>
      <c r="B29" s="75"/>
      <c r="C29" s="75"/>
      <c r="D29" s="75"/>
      <c r="E29" s="75"/>
      <c r="F29" s="162"/>
      <c r="G29" s="162"/>
      <c r="H29" s="162"/>
      <c r="I29" s="162"/>
      <c r="J29" s="325"/>
      <c r="K29" s="325"/>
      <c r="L29" s="325"/>
      <c r="M29" s="325"/>
      <c r="N29" s="153"/>
    </row>
    <row r="30" spans="1:14" ht="15" customHeight="1">
      <c r="A30" s="91" t="s">
        <v>373</v>
      </c>
      <c r="B30" s="69">
        <v>3247</v>
      </c>
      <c r="C30" s="69">
        <v>3213</v>
      </c>
      <c r="D30" s="69">
        <v>3233.2759999999998</v>
      </c>
      <c r="E30" s="69">
        <v>3255.4850000000001</v>
      </c>
      <c r="F30" s="156">
        <v>3228.45</v>
      </c>
      <c r="G30" s="156">
        <v>3219.931</v>
      </c>
      <c r="H30" s="156">
        <v>3200.8310000000001</v>
      </c>
      <c r="I30" s="156">
        <v>3163.7109999999998</v>
      </c>
      <c r="J30" s="316">
        <v>3151.0729999999999</v>
      </c>
      <c r="K30" s="316">
        <v>3178.4920000000002</v>
      </c>
      <c r="L30" s="316">
        <v>3188.712</v>
      </c>
      <c r="M30" s="316"/>
      <c r="N30" s="153"/>
    </row>
    <row r="31" spans="1:14" ht="15" customHeight="1">
      <c r="A31" s="83" t="s">
        <v>376</v>
      </c>
      <c r="B31" s="69">
        <v>1475</v>
      </c>
      <c r="C31" s="69">
        <v>1462</v>
      </c>
      <c r="D31" s="69">
        <v>1471.3440000000001</v>
      </c>
      <c r="E31" s="69">
        <v>1480.4860000000001</v>
      </c>
      <c r="F31" s="156">
        <v>1451.335</v>
      </c>
      <c r="G31" s="156">
        <v>1443.1030000000001</v>
      </c>
      <c r="H31" s="156">
        <v>1426.8810000000001</v>
      </c>
      <c r="I31" s="156">
        <v>1386.17</v>
      </c>
      <c r="J31" s="316">
        <v>1353.3530000000001</v>
      </c>
      <c r="K31" s="316">
        <v>1372.9870000000001</v>
      </c>
      <c r="L31" s="316">
        <v>1378.8789999999999</v>
      </c>
      <c r="M31" s="316"/>
      <c r="N31" s="153"/>
    </row>
    <row r="32" spans="1:14" ht="15" customHeight="1">
      <c r="A32" s="83" t="s">
        <v>374</v>
      </c>
      <c r="B32" s="69">
        <v>203</v>
      </c>
      <c r="C32" s="69">
        <v>215</v>
      </c>
      <c r="D32" s="69">
        <v>219.27415414004901</v>
      </c>
      <c r="E32" s="69">
        <v>220.81040689566899</v>
      </c>
      <c r="F32" s="156">
        <v>218.37775636777999</v>
      </c>
      <c r="G32" s="156">
        <v>225.1074196939</v>
      </c>
      <c r="H32" s="156">
        <v>226.17586422359699</v>
      </c>
      <c r="I32" s="156">
        <v>228.531906396144</v>
      </c>
      <c r="J32" s="316">
        <v>227.159445026725</v>
      </c>
      <c r="K32" s="316">
        <v>238.96955215655601</v>
      </c>
      <c r="L32" s="316">
        <v>235.810292569637</v>
      </c>
      <c r="M32" s="316"/>
      <c r="N32" s="153"/>
    </row>
    <row r="33" spans="1:14" ht="15" customHeight="1">
      <c r="A33" s="83" t="s">
        <v>375</v>
      </c>
      <c r="B33" s="69">
        <v>93</v>
      </c>
      <c r="C33" s="69">
        <v>96</v>
      </c>
      <c r="D33" s="69">
        <v>97.565844999999996</v>
      </c>
      <c r="E33" s="69">
        <v>102.451896</v>
      </c>
      <c r="F33" s="156">
        <v>101.64835877954638</v>
      </c>
      <c r="G33" s="156">
        <v>94.396322446240646</v>
      </c>
      <c r="H33" s="156">
        <v>102.65625204969201</v>
      </c>
      <c r="I33" s="156">
        <v>102.49929083152264</v>
      </c>
      <c r="J33" s="316">
        <v>102.75937704918033</v>
      </c>
      <c r="K33" s="316">
        <v>100.1452613130986</v>
      </c>
      <c r="L33" s="316">
        <v>102.17690672342492</v>
      </c>
      <c r="M33" s="316"/>
      <c r="N33" s="400"/>
    </row>
    <row r="34" spans="1:14" ht="15" customHeight="1">
      <c r="A34" s="83" t="s">
        <v>377</v>
      </c>
      <c r="B34" s="69">
        <v>138</v>
      </c>
      <c r="C34" s="69">
        <v>139</v>
      </c>
      <c r="D34" s="69">
        <v>141.16337999999999</v>
      </c>
      <c r="E34" s="69">
        <v>149.72774200000001</v>
      </c>
      <c r="F34" s="156">
        <v>150.80976461993461</v>
      </c>
      <c r="G34" s="156">
        <v>139.46435293997808</v>
      </c>
      <c r="H34" s="156">
        <v>149.60863804639393</v>
      </c>
      <c r="I34" s="156">
        <v>149.45499244379371</v>
      </c>
      <c r="J34" s="316">
        <v>151.40594098360657</v>
      </c>
      <c r="K34" s="316">
        <v>145.34982443210833</v>
      </c>
      <c r="L34" s="316">
        <v>148.3627955353339</v>
      </c>
      <c r="M34" s="316"/>
      <c r="N34" s="153"/>
    </row>
    <row r="35" spans="1:14" ht="15" customHeight="1">
      <c r="A35" s="89" t="s">
        <v>376</v>
      </c>
      <c r="B35" s="75">
        <v>39</v>
      </c>
      <c r="C35" s="75">
        <v>45</v>
      </c>
      <c r="D35" s="75">
        <v>45.247160000000001</v>
      </c>
      <c r="E35" s="75">
        <v>45.698195999999996</v>
      </c>
      <c r="F35" s="162">
        <v>42.118979501069461</v>
      </c>
      <c r="G35" s="162">
        <v>39.025145592764247</v>
      </c>
      <c r="H35" s="162">
        <v>44.739314268772105</v>
      </c>
      <c r="I35" s="162">
        <v>42.921073860890466</v>
      </c>
      <c r="J35" s="325">
        <v>38.843960655737703</v>
      </c>
      <c r="K35" s="325">
        <v>40.462129022483325</v>
      </c>
      <c r="L35" s="325">
        <v>41.337952980728481</v>
      </c>
      <c r="M35" s="325"/>
      <c r="N35" s="153"/>
    </row>
    <row r="36" spans="1:14" ht="15" customHeight="1"/>
    <row r="37" spans="1:14" ht="15" customHeight="1"/>
    <row r="38" spans="1:14" ht="15" customHeight="1"/>
  </sheetData>
  <mergeCells count="3">
    <mergeCell ref="B4:E4"/>
    <mergeCell ref="F4:I4"/>
    <mergeCell ref="J4:M4"/>
  </mergeCells>
  <phoneticPr fontId="16" type="noConversion"/>
  <pageMargins left="0.36" right="0.28999999999999998" top="0.984251969" bottom="0.984251969" header="0.5" footer="0.5"/>
  <pageSetup paperSize="9" scale="7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eport and summary" ma:contentTypeID="0x0101006D399FD464004C9BB7D74AF768EDCBD23004002DC0D72769F3D148AA82FE9A8C1F8E1F" ma:contentTypeVersion="5" ma:contentTypeDescription="Report and summary are documents characterized by information or other content reflective of inquiry or investigation, which is tailored to the context of a given situation and audience. The purpose of reports is usually to inform." ma:contentTypeScope="" ma:versionID="ae6158fc6c8396322cc8541e454cf959">
  <xsd:schema xmlns:xsd="http://www.w3.org/2001/XMLSchema" xmlns:p="http://schemas.microsoft.com/office/2006/metadata/properties" xmlns:ns1="http://schemas.microsoft.com/sharepoint/v3" xmlns:ns2="f46af90b-0c71-4022-a74e-bf7f4981db53" targetNamespace="http://schemas.microsoft.com/office/2006/metadata/properties" ma:root="true" ma:fieldsID="6a438628900ce9c2df9e019fee1641da" ns1:_="" ns2:_="">
    <xsd:import namespace="http://schemas.microsoft.com/sharepoint/v3"/>
    <xsd:import namespace="f46af90b-0c71-4022-a74e-bf7f4981db53"/>
    <xsd:element name="properties">
      <xsd:complexType>
        <xsd:sequence>
          <xsd:element name="documentManagement">
            <xsd:complexType>
              <xsd:all>
                <xsd:element ref="ns2:WoWConfidentiality"/>
                <xsd:element ref="ns2:WoWDocumentDate"/>
                <xsd:element ref="ns1:WoWContentOwner"/>
                <xsd:element ref="ns2:WoWUniqueId" minOccurs="0"/>
                <xsd:element ref="ns2:WoWLink" minOccurs="0"/>
                <xsd:element ref="ns2:WoWRecordDate" minOccurs="0"/>
                <xsd:element ref="ns2:about" minOccurs="0"/>
                <xsd:element ref="ns2:WoWArchivePeriod" minOccurs="0"/>
                <xsd:element ref="ns2:Quarterly_x0020_Reporting" minOccurs="0"/>
                <xsd:element ref="ns2:OpCo" minOccurs="0"/>
                <xsd:element ref="ns2:Month" minOccurs="0"/>
                <xsd:element ref="ns2:Year" minOccurs="0"/>
                <xsd:element ref="ns2:TopicId"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WoWContentOwner" ma:index="10" ma:displayName="Information Owner" ma:description="Person responsible for the document content, either the writer of the document or a person the writer works on behalf of" ma:list="UserInfo" ma:internalName="WoWContentOwner" ma:showField="ImnName">
      <xsd:simpleType>
        <xsd:restriction base="dms:Unknown"/>
      </xsd:simpleType>
    </xsd:element>
  </xsd:schema>
  <xsd:schema xmlns:xsd="http://www.w3.org/2001/XMLSchema" xmlns:dms="http://schemas.microsoft.com/office/2006/documentManagement/types" targetNamespace="f46af90b-0c71-4022-a74e-bf7f4981db53" elementFormDefault="qualified">
    <xsd:import namespace="http://schemas.microsoft.com/office/2006/documentManagement/types"/>
    <xsd:element name="WoWConfidentiality" ma:index="8" ma:displayName="Confidentiality" ma:default="Open" ma:description="Level of confidentiality" ma:format="Dropdown" ma:internalName="WoWConfidentiality">
      <xsd:simpleType>
        <xsd:restriction base="dms:Choice">
          <xsd:enumeration value="Open"/>
          <xsd:enumeration value="Internal"/>
          <xsd:enumeration value="Confidential"/>
        </xsd:restriction>
      </xsd:simpleType>
    </xsd:element>
    <xsd:element name="WoWDocumentDate" ma:index="9" ma:displayName="Document Date" ma:default="[today]" ma:description="Consider for each document what the relevant date is. For historical documents, please change the date" ma:format="DateOnly" ma:internalName="WoWDocumentDate">
      <xsd:simpleType>
        <xsd:restriction base="dms:DateTime"/>
      </xsd:simpleType>
    </xsd:element>
    <xsd:element name="WoWUniqueId" ma:index="11" nillable="true" ma:displayName="Unique ID" ma:description="" ma:hidden="true" ma:internalName="WoWUniqueId">
      <xsd:simpleType>
        <xsd:restriction base="dms:Unknown"/>
      </xsd:simpleType>
    </xsd:element>
    <xsd:element name="WoWLink" ma:index="12" nillable="true" ma:displayName="Link" ma:description="Use this link when referencing this item in emails and other documents; it will always point to the latest version even when the document is moved to another location." ma:hidden="true" ma:internalName="WoWLink">
      <xsd:simpleType>
        <xsd:restriction base="dms:Unknown"/>
      </xsd:simpleType>
    </xsd:element>
    <xsd:element name="WoWRecordDate" ma:index="13" nillable="true" ma:displayName="Record Date" ma:description="" ma:hidden="true" ma:internalName="WoWRecordDate">
      <xsd:simpleType>
        <xsd:restriction base="dms:Unknown"/>
      </xsd:simpleType>
    </xsd:element>
    <xsd:element name="about" ma:index="14" nillable="true" ma:displayName="Related Topic Pages" ma:description="Related Topic Pages" ma:hidden="true" ma:internalName="about">
      <xsd:simpleType>
        <xsd:restriction base="dms:Unknown"/>
      </xsd:simpleType>
    </xsd:element>
    <xsd:element name="WoWArchivePeriod" ma:index="15" nillable="true" ma:displayName="Archive Period" ma:default="StandardPolicy" ma:description="Nominates the document to become a record, and/or defines how long the document should be kept" ma:format="Dropdown" ma:hidden="true" ma:internalName="WoWArchivePeriod">
      <xsd:simpleType>
        <xsd:restriction base="dms:Choice">
          <xsd:enumeration value="StandardPolicy"/>
          <xsd:enumeration value="Short"/>
          <xsd:enumeration value="Long"/>
          <xsd:enumeration value="Forever"/>
        </xsd:restriction>
      </xsd:simpleType>
    </xsd:element>
    <xsd:element name="Quarterly_x0020_Reporting" ma:index="16" nillable="true" ma:displayName="Category" ma:format="Dropdown" ma:internalName="Quarterly_x0020_Reporting" ma:readOnly="false">
      <xsd:simpleType>
        <xsd:restriction base="dms:Choice">
          <xsd:enumeration value="00 Reporting plan"/>
          <xsd:enumeration value="01 External Report"/>
          <xsd:enumeration value="01 Input Business Manager"/>
          <xsd:enumeration value="01 External Presentation"/>
          <xsd:enumeration value="02 Table file for external report"/>
          <xsd:enumeration value="02 WEB file"/>
          <xsd:enumeration value="02 Table file support files"/>
          <xsd:enumeration value="03 Checklist templates"/>
          <xsd:enumeration value="03 Controlling checklists"/>
          <xsd:enumeration value="04 Company file template"/>
          <xsd:enumeration value="04 Company files"/>
          <xsd:enumeration value="04 Supporting files"/>
          <xsd:enumeration value="Benchmarking"/>
          <xsd:enumeration value="Cheat sheet"/>
          <xsd:enumeration value="Consensus"/>
          <xsd:enumeration value="Definitions"/>
          <xsd:enumeration value="Forecast"/>
          <xsd:enumeration value="Forecast assessment"/>
          <xsd:enumeration value="FR minutes"/>
          <xsd:enumeration value="Group presentations"/>
          <xsd:enumeration value="Issues to FR from BM"/>
          <xsd:enumeration value="Management Reports"/>
          <xsd:enumeration value="Mobile data and technical OPEX"/>
          <xsd:enumeration value="Monthly Report to BoD"/>
          <xsd:enumeration value="Non-financial reporting"/>
          <xsd:enumeration value="Roaming files"/>
          <xsd:enumeration value="Short Status"/>
          <xsd:enumeration value="Summary files"/>
          <xsd:enumeration value="Supporting files"/>
          <xsd:enumeration value="Template"/>
          <xsd:enumeration value="Weekly minutes"/>
          <xsd:enumeration value="N/A"/>
        </xsd:restriction>
      </xsd:simpleType>
    </xsd:element>
    <xsd:element name="OpCo" ma:index="17" nillable="true" ma:displayName="Entity" ma:format="Dropdown" ma:internalName="OpCo">
      <xsd:simpleType>
        <xsd:restriction base="dms:Choice">
          <xsd:enumeration value="Telenor Group"/>
          <xsd:enumeration value="Telenor Norway"/>
          <xsd:enumeration value="Telenor Sweden"/>
          <xsd:enumeration value="Telenor Denmark"/>
          <xsd:enumeration value="Kyivstar"/>
          <xsd:enumeration value="Telenor Hungary"/>
          <xsd:enumeration value="Pannon"/>
          <xsd:enumeration value="Telenor Serbia"/>
          <xsd:enumeration value="Telenor Montenegro"/>
          <xsd:enumeration value="Promonte"/>
          <xsd:enumeration value="DTAC"/>
          <xsd:enumeration value="DiGi"/>
          <xsd:enumeration value="Grameenphone"/>
          <xsd:enumeration value="Telenor Pakistan"/>
          <xsd:enumeration value="Uninor"/>
          <xsd:enumeration value="Broadcast"/>
          <xsd:enumeration value="Other businesses"/>
          <xsd:enumeration value="Associated companies"/>
          <xsd:enumeration value="FRC/CPA Internal"/>
          <xsd:enumeration value="Nordic"/>
          <xsd:enumeration value="CEE"/>
          <xsd:enumeration value="Asia"/>
          <xsd:enumeration value="N/A"/>
        </xsd:restriction>
      </xsd:simpleType>
    </xsd:element>
    <xsd:element name="Month" ma:index="18" nillable="true" ma:displayName="Period" ma:format="Dropdown" ma:internalName="Month" ma:readOnly="false">
      <xsd:simpleType>
        <xsd:restriction base="dms:Choice">
          <xsd:enumeration value="00 Annual"/>
          <xsd:enumeration value="01 January"/>
          <xsd:enumeration value="02 February"/>
          <xsd:enumeration value="03 March (Q1)"/>
          <xsd:enumeration value="04 April"/>
          <xsd:enumeration value="05 May"/>
          <xsd:enumeration value="06 June (Q2)"/>
          <xsd:enumeration value="07 July"/>
          <xsd:enumeration value="08 August"/>
          <xsd:enumeration value="09 September (Q3)"/>
          <xsd:enumeration value="10 October"/>
          <xsd:enumeration value="11 November"/>
          <xsd:enumeration value="12 December (Q4)"/>
        </xsd:restriction>
      </xsd:simpleType>
    </xsd:element>
    <xsd:element name="Year" ma:index="19" nillable="true" ma:displayName="Year" ma:format="Dropdown" ma:internalName="Year" ma:readOnly="false">
      <xsd:simpleType>
        <xsd:restriction base="dms:Choice">
          <xsd:enumeration value="2012"/>
          <xsd:enumeration value="2011"/>
          <xsd:enumeration value="2010"/>
          <xsd:enumeration value="2009"/>
          <xsd:enumeration value="2008"/>
          <xsd:enumeration value="2007"/>
          <xsd:enumeration value="OLD"/>
        </xsd:restriction>
      </xsd:simpleType>
    </xsd:element>
    <xsd:element name="TopicId" ma:index="20" nillable="true" ma:displayName="TopicId" ma:internalName="TopicId"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documentManagement>
    <WoWArchivePeriod xmlns="f46af90b-0c71-4022-a74e-bf7f4981db53">StandardPolicy</WoWArchivePeriod>
    <Quarterly_x0020_Reporting xmlns="f46af90b-0c71-4022-a74e-bf7f4981db53">02 Table file for external report</Quarterly_x0020_Reporting>
    <WoWContentOwner xmlns="http://schemas.microsoft.com/sharepoint/v3">61</WoWContentOwner>
    <OpCo xmlns="f46af90b-0c71-4022-a74e-bf7f4981db53">Telenor Group</OpCo>
    <WoWConfidentiality xmlns="f46af90b-0c71-4022-a74e-bf7f4981db53">Confidential</WoWConfidentiality>
    <Year xmlns="f46af90b-0c71-4022-a74e-bf7f4981db53">2011</Year>
    <WoWRecordDate xmlns="f46af90b-0c71-4022-a74e-bf7f4981db53" xsi:nil="true"/>
    <Month xmlns="f46af90b-0c71-4022-a74e-bf7f4981db53">09 September (Q3)</Month>
    <WoWUniqueId xmlns="f46af90b-0c71-4022-a74e-bf7f4981db53">zB4HPCY4P0w</WoWUniqueId>
    <WoWDocumentDate xmlns="f46af90b-0c71-4022-a74e-bf7f4981db53">2010-05-10T22:00:00+00:00</WoWDocumentDate>
    <WoWLink xmlns="f46af90b-0c71-4022-a74e-bf7f4981db53">https://groupunits.sec.wow.telenor.com/sites/cpa/_layouts/TelenorWoW/ShowItem.aspx?ID=zB4HPCY4P0w, https://groupunits.sec.wow.telenor.com/sites/cpa/_layouts/TelenorWoW/ShowItem.aspx?ID=zB4HPCY4P0w</WoWLink>
    <about xmlns="f46af90b-0c71-4022-a74e-bf7f4981db5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A6FEC0-1417-4357-91C3-976DBDCC93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6af90b-0c71-4022-a74e-bf7f4981db5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EF974DF-10ED-4599-A0A2-F36D51658702}">
  <ds:schemaRefs>
    <ds:schemaRef ds:uri="http://schemas.microsoft.com/office/2006/metadata/longProperties"/>
  </ds:schemaRefs>
</ds:datastoreItem>
</file>

<file path=customXml/itemProps3.xml><?xml version="1.0" encoding="utf-8"?>
<ds:datastoreItem xmlns:ds="http://schemas.openxmlformats.org/officeDocument/2006/customXml" ds:itemID="{D15A8470-BA5D-4DC1-A92B-7199CF2D50FB}">
  <ds:schemaRefs>
    <ds:schemaRef ds:uri="http://purl.org/dc/terms/"/>
    <ds:schemaRef ds:uri="http://schemas.microsoft.com/office/2006/metadata/properties"/>
    <ds:schemaRef ds:uri="http://www.w3.org/XML/1998/namespace"/>
    <ds:schemaRef ds:uri="http://schemas.microsoft.com/office/2006/documentManagement/types"/>
    <ds:schemaRef ds:uri="http://schemas.microsoft.com/sharepoint/v3"/>
    <ds:schemaRef ds:uri="http://purl.org/dc/elements/1.1/"/>
    <ds:schemaRef ds:uri="http://schemas.openxmlformats.org/package/2006/metadata/core-properties"/>
    <ds:schemaRef ds:uri="f46af90b-0c71-4022-a74e-bf7f4981db53"/>
    <ds:schemaRef ds:uri="http://purl.org/dc/dcmitype/"/>
  </ds:schemaRefs>
</ds:datastoreItem>
</file>

<file path=customXml/itemProps4.xml><?xml version="1.0" encoding="utf-8"?>
<ds:datastoreItem xmlns:ds="http://schemas.openxmlformats.org/officeDocument/2006/customXml" ds:itemID="{738CEB94-F242-4188-81C1-02A6383E47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Other_DK (not in use)</vt:lpstr>
      <vt:lpstr>Web File adj Other for Q1-16</vt:lpstr>
      <vt:lpstr>EBITDA Contribution -brukes den</vt:lpstr>
      <vt:lpstr>Ark3</vt:lpstr>
      <vt:lpstr>Norway</vt:lpstr>
      <vt:lpstr>Denmark</vt:lpstr>
      <vt:lpstr>Sweden</vt:lpstr>
      <vt:lpstr>Bulgaria</vt:lpstr>
      <vt:lpstr>Hungary</vt:lpstr>
      <vt:lpstr>Montenegro &amp; Serbia</vt:lpstr>
      <vt:lpstr>dtac</vt:lpstr>
      <vt:lpstr>Digi</vt:lpstr>
      <vt:lpstr>Grameenphone</vt:lpstr>
      <vt:lpstr>Pakistan</vt:lpstr>
      <vt:lpstr>India</vt:lpstr>
      <vt:lpstr>Myanmar</vt:lpstr>
      <vt:lpstr>Broadcast </vt:lpstr>
      <vt:lpstr>Other units</vt:lpstr>
      <vt:lpstr>P &amp; L</vt:lpstr>
      <vt:lpstr>Segments</vt:lpstr>
      <vt:lpstr>Balance</vt:lpstr>
      <vt:lpstr>Cash Flow</vt:lpstr>
      <vt:lpstr>Special items</vt:lpstr>
      <vt:lpstr>Reconciliation</vt:lpstr>
      <vt:lpstr>Amort &amp; Depr</vt:lpstr>
      <vt:lpstr>Investments</vt:lpstr>
      <vt:lpstr>Analytical information</vt:lpstr>
      <vt:lpstr>Average exchange rates YTD</vt:lpstr>
      <vt:lpstr>'Amort &amp; Depr'!Print_Area</vt:lpstr>
      <vt:lpstr>'Analytical information'!Print_Area</vt:lpstr>
      <vt:lpstr>'Average exchange rates YTD'!Print_Area</vt:lpstr>
      <vt:lpstr>Balance!Print_Area</vt:lpstr>
      <vt:lpstr>'Broadcast '!Print_Area</vt:lpstr>
      <vt:lpstr>Bulgaria!Print_Area</vt:lpstr>
      <vt:lpstr>'Cash Flow'!Print_Area</vt:lpstr>
      <vt:lpstr>Denmark!Print_Area</vt:lpstr>
      <vt:lpstr>Digi!Print_Area</vt:lpstr>
      <vt:lpstr>dtac!Print_Area</vt:lpstr>
      <vt:lpstr>Grameenphone!Print_Area</vt:lpstr>
      <vt:lpstr>Hungary!Print_Area</vt:lpstr>
      <vt:lpstr>India!Print_Area</vt:lpstr>
      <vt:lpstr>Investments!Print_Area</vt:lpstr>
      <vt:lpstr>'Montenegro &amp; Serbia'!Print_Area</vt:lpstr>
      <vt:lpstr>Myanmar!Print_Area</vt:lpstr>
      <vt:lpstr>Norway!Print_Area</vt:lpstr>
      <vt:lpstr>'Other units'!Print_Area</vt:lpstr>
      <vt:lpstr>'Other_DK (not in use)'!Print_Area</vt:lpstr>
      <vt:lpstr>'P &amp; L'!Print_Area</vt:lpstr>
      <vt:lpstr>Pakistan!Print_Area</vt:lpstr>
      <vt:lpstr>Reconciliation!Print_Area</vt:lpstr>
      <vt:lpstr>Segments!Print_Area</vt:lpstr>
      <vt:lpstr>'Special items'!Print_Area</vt:lpstr>
      <vt:lpstr>Sweden!Print_Area</vt:lpstr>
      <vt:lpstr>'Special items'!Print_Titles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Telenor Group Q3 2016 analytical tool</dc:title>
  <dc:creator>Helge Øien</dc:creator>
  <cp:lastModifiedBy>Øien Helge</cp:lastModifiedBy>
  <cp:lastPrinted>2016-10-04T12:06:46Z</cp:lastPrinted>
  <dcterms:created xsi:type="dcterms:W3CDTF">2011-09-19T09:15:38Z</dcterms:created>
  <dcterms:modified xsi:type="dcterms:W3CDTF">2016-10-25T14:43:54Z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0x0101006D399FD464004C9BB7D74AF768EDCBD240010074CB494F1C8E4B4A82EB5311ED0A40E5</vt:lpwstr>
  </property>
  <property fmtid="{D5CDD505-2E9C-101B-9397-08002B2CF9AE}" pid="3" name="UniqueID">
    <vt:lpwstr>32b2c908-beeb-4938-8ff7-5ec7e410433e</vt:lpwstr>
  </property>
</Properties>
</file>